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3309\Desktop\section32\JANUARY\YTD\"/>
    </mc:Choice>
  </mc:AlternateContent>
  <bookViews>
    <workbookView xWindow="-120" yWindow="-120" windowWidth="29040" windowHeight="15840" activeTab="10"/>
  </bookViews>
  <sheets>
    <sheet name="Summary" sheetId="12" r:id="rId1"/>
    <sheet name="Table1" sheetId="1" r:id="rId2"/>
    <sheet name="Table2 Pg1" sheetId="2" r:id="rId3"/>
    <sheet name="Table2 Pg2" sheetId="3" r:id="rId4"/>
    <sheet name="Table3 Summary" sheetId="4" r:id="rId5"/>
    <sheet name="Table3,1" sheetId="6" r:id="rId6"/>
    <sheet name="Table3,2" sheetId="7" r:id="rId7"/>
    <sheet name="Table3,3" sheetId="8" r:id="rId8"/>
    <sheet name="Table3,4" sheetId="9" r:id="rId9"/>
    <sheet name="Table4" sheetId="10" r:id="rId10"/>
    <sheet name="Table5" sheetId="11" r:id="rId11"/>
  </sheets>
  <externalReferences>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s>
  <definedNames>
    <definedName name="_xlnm.Print_Area" localSheetId="0">Summary!$A$1:$U$51</definedName>
    <definedName name="_xlnm.Print_Area" localSheetId="1">Table1!$A$1:$AB$146</definedName>
    <definedName name="_xlnm.Print_Area" localSheetId="2">'Table2 Pg1'!$A$1:$BW$80</definedName>
    <definedName name="_xlnm.Print_Area" localSheetId="5">'Table3,1'!$A$1:$BW$344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3" i="12" l="1"/>
  <c r="H22" i="12" s="1"/>
  <c r="I23" i="12"/>
  <c r="I22" i="12" s="1"/>
  <c r="J23" i="12"/>
  <c r="J22" i="12" s="1"/>
  <c r="K23" i="12"/>
  <c r="K22" i="12" s="1"/>
  <c r="L23" i="12"/>
  <c r="L22" i="12" s="1"/>
  <c r="S47" i="12" l="1"/>
  <c r="R47" i="12"/>
  <c r="Q45" i="12"/>
  <c r="P45" i="12"/>
  <c r="O45" i="12"/>
  <c r="N45" i="12"/>
  <c r="M45" i="12"/>
  <c r="L45" i="12"/>
  <c r="K45" i="12"/>
  <c r="J45" i="12"/>
  <c r="I45" i="12"/>
  <c r="H45" i="12"/>
  <c r="G45" i="12"/>
  <c r="Q43" i="12"/>
  <c r="P43" i="12"/>
  <c r="O43" i="12"/>
  <c r="N43" i="12"/>
  <c r="M43" i="12"/>
  <c r="L43" i="12"/>
  <c r="K43" i="12"/>
  <c r="J43" i="12"/>
  <c r="I43" i="12"/>
  <c r="H43" i="12"/>
  <c r="G43" i="12"/>
  <c r="Q41" i="12"/>
  <c r="P41" i="12"/>
  <c r="O41" i="12"/>
  <c r="N41" i="12"/>
  <c r="M41" i="12"/>
  <c r="L41" i="12"/>
  <c r="K41" i="12"/>
  <c r="J41" i="12"/>
  <c r="I41" i="12"/>
  <c r="H41" i="12"/>
  <c r="G41" i="12"/>
  <c r="Q39" i="12"/>
  <c r="P39" i="12"/>
  <c r="O39" i="12"/>
  <c r="O47" i="12" s="1"/>
  <c r="N39" i="12"/>
  <c r="M39" i="12"/>
  <c r="L39" i="12"/>
  <c r="K39" i="12"/>
  <c r="J39" i="12"/>
  <c r="I39" i="12"/>
  <c r="I47" i="12" s="1"/>
  <c r="H39" i="12"/>
  <c r="G39" i="12"/>
  <c r="G32" i="12"/>
  <c r="Q30" i="12"/>
  <c r="P30" i="12"/>
  <c r="O30" i="12"/>
  <c r="N30" i="12"/>
  <c r="M30" i="12"/>
  <c r="L30" i="12"/>
  <c r="K30" i="12"/>
  <c r="J30" i="12"/>
  <c r="I30" i="12"/>
  <c r="H30" i="12"/>
  <c r="G30" i="12"/>
  <c r="Q29" i="12"/>
  <c r="P29" i="12"/>
  <c r="O29" i="12"/>
  <c r="N29" i="12"/>
  <c r="M29" i="12"/>
  <c r="L29" i="12"/>
  <c r="K29" i="12"/>
  <c r="J29" i="12"/>
  <c r="I29" i="12"/>
  <c r="H29" i="12"/>
  <c r="G29" i="12"/>
  <c r="T27" i="12"/>
  <c r="D27" i="12"/>
  <c r="T26" i="12"/>
  <c r="D26" i="12"/>
  <c r="P25" i="12"/>
  <c r="M25" i="12"/>
  <c r="T25" i="12" s="1"/>
  <c r="S24" i="12"/>
  <c r="R24" i="12"/>
  <c r="Q24" i="12"/>
  <c r="P24" i="12"/>
  <c r="O24" i="12"/>
  <c r="N24" i="12"/>
  <c r="M23" i="12"/>
  <c r="T23" i="12" s="1"/>
  <c r="G23" i="12"/>
  <c r="G21" i="12" s="1"/>
  <c r="G15" i="12" s="1"/>
  <c r="D23" i="12"/>
  <c r="M22" i="12"/>
  <c r="T22" i="12" s="1"/>
  <c r="G22" i="12"/>
  <c r="D22" i="12"/>
  <c r="S21" i="12"/>
  <c r="R21" i="12"/>
  <c r="Q21" i="12"/>
  <c r="P21" i="12"/>
  <c r="O21" i="12"/>
  <c r="N21" i="12"/>
  <c r="M21" i="12"/>
  <c r="L21" i="12"/>
  <c r="K21" i="12"/>
  <c r="J21" i="12"/>
  <c r="I21" i="12"/>
  <c r="H21" i="12"/>
  <c r="D20" i="12"/>
  <c r="D19" i="12"/>
  <c r="P18" i="12"/>
  <c r="O18" i="12"/>
  <c r="N18" i="12"/>
  <c r="M18" i="12"/>
  <c r="L18" i="12"/>
  <c r="K18" i="12"/>
  <c r="J18" i="12"/>
  <c r="I18" i="12"/>
  <c r="H18" i="12"/>
  <c r="G18" i="12"/>
  <c r="Q17" i="12"/>
  <c r="P17" i="12"/>
  <c r="O17" i="12"/>
  <c r="N17" i="12"/>
  <c r="M17" i="12"/>
  <c r="L17" i="12"/>
  <c r="K17" i="12"/>
  <c r="J17" i="12"/>
  <c r="I17" i="12"/>
  <c r="H17" i="12"/>
  <c r="G17" i="12"/>
  <c r="Q16" i="12"/>
  <c r="P16" i="12"/>
  <c r="O16" i="12"/>
  <c r="N16" i="12"/>
  <c r="M16" i="12"/>
  <c r="L16" i="12"/>
  <c r="K16" i="12"/>
  <c r="J16" i="12"/>
  <c r="I16" i="12"/>
  <c r="T16" i="12" s="1"/>
  <c r="H16" i="12"/>
  <c r="G16" i="12"/>
  <c r="U15" i="12"/>
  <c r="Q13" i="12"/>
  <c r="P13" i="12"/>
  <c r="O13" i="12"/>
  <c r="N13" i="12"/>
  <c r="M13" i="12"/>
  <c r="L13" i="12"/>
  <c r="K13" i="12"/>
  <c r="J13" i="12"/>
  <c r="I13" i="12"/>
  <c r="H13" i="12"/>
  <c r="G13" i="12"/>
  <c r="S11" i="12"/>
  <c r="S34" i="12" s="1"/>
  <c r="R11" i="12"/>
  <c r="R34" i="12" s="1"/>
  <c r="R53" i="12" s="1"/>
  <c r="Q9" i="12"/>
  <c r="P9" i="12"/>
  <c r="O9" i="12"/>
  <c r="N9" i="12"/>
  <c r="M9" i="12"/>
  <c r="L9" i="12"/>
  <c r="K9" i="12"/>
  <c r="J9" i="12"/>
  <c r="I9" i="12"/>
  <c r="H9" i="12"/>
  <c r="G9" i="12"/>
  <c r="J15" i="12" l="1"/>
  <c r="J11" i="12" s="1"/>
  <c r="J34" i="12" s="1"/>
  <c r="J53" i="12" s="1"/>
  <c r="L15" i="12"/>
  <c r="M15" i="12"/>
  <c r="K47" i="12"/>
  <c r="Q47" i="12"/>
  <c r="T45" i="12"/>
  <c r="M34" i="12"/>
  <c r="G11" i="12"/>
  <c r="M11" i="12"/>
  <c r="T30" i="12"/>
  <c r="T17" i="12"/>
  <c r="T29" i="12"/>
  <c r="H47" i="12"/>
  <c r="N47" i="12"/>
  <c r="J47" i="12"/>
  <c r="P47" i="12"/>
  <c r="K15" i="12"/>
  <c r="K11" i="12" s="1"/>
  <c r="K34" i="12" s="1"/>
  <c r="K53" i="12" s="1"/>
  <c r="T41" i="12"/>
  <c r="G34" i="12"/>
  <c r="G53" i="12" s="1"/>
  <c r="T13" i="12"/>
  <c r="T18" i="12"/>
  <c r="H15" i="12"/>
  <c r="H11" i="12" s="1"/>
  <c r="H34" i="12" s="1"/>
  <c r="H53" i="12" s="1"/>
  <c r="N15" i="12"/>
  <c r="N11" i="12" s="1"/>
  <c r="M24" i="12"/>
  <c r="L47" i="12"/>
  <c r="G47" i="12"/>
  <c r="M47" i="12"/>
  <c r="T43" i="12"/>
  <c r="O15" i="12"/>
  <c r="O11" i="12" s="1"/>
  <c r="O34" i="12" s="1"/>
  <c r="O53" i="12" s="1"/>
  <c r="T24" i="12"/>
  <c r="P15" i="12"/>
  <c r="P11" i="12" s="1"/>
  <c r="P34" i="12" s="1"/>
  <c r="P53" i="12" s="1"/>
  <c r="S53" i="12"/>
  <c r="Q15" i="12"/>
  <c r="Q11" i="12" s="1"/>
  <c r="Q34" i="12" s="1"/>
  <c r="Q53" i="12" s="1"/>
  <c r="T21" i="12"/>
  <c r="N34" i="12"/>
  <c r="N53" i="12" s="1"/>
  <c r="T39" i="12"/>
  <c r="T9" i="12"/>
  <c r="L11" i="12"/>
  <c r="L34" i="12" s="1"/>
  <c r="I15" i="12"/>
  <c r="I11" i="12" s="1"/>
  <c r="I34" i="12" s="1"/>
  <c r="I53" i="12" s="1"/>
  <c r="M53" i="12" l="1"/>
  <c r="L53" i="12"/>
  <c r="T47" i="12"/>
  <c r="T15" i="12"/>
  <c r="T11" i="12" s="1"/>
  <c r="T34" i="12" s="1"/>
  <c r="T53" i="12" s="1"/>
  <c r="S65" i="11" l="1"/>
  <c r="S49" i="11"/>
  <c r="S48" i="11"/>
  <c r="S47" i="11"/>
  <c r="S46" i="11"/>
  <c r="S45" i="11"/>
  <c r="S44" i="11"/>
  <c r="S43" i="11"/>
  <c r="S42" i="11"/>
  <c r="S41" i="11"/>
  <c r="R40" i="11"/>
  <c r="Q40" i="11"/>
  <c r="P40" i="11"/>
  <c r="O40" i="11"/>
  <c r="N40" i="11"/>
  <c r="M40" i="11"/>
  <c r="L40" i="11"/>
  <c r="K40" i="11"/>
  <c r="J40" i="11"/>
  <c r="I40" i="11"/>
  <c r="H40" i="11"/>
  <c r="G40" i="11"/>
  <c r="F40" i="11"/>
  <c r="S38" i="11"/>
  <c r="S37" i="11"/>
  <c r="S36" i="11"/>
  <c r="S35" i="11"/>
  <c r="S34" i="11"/>
  <c r="S33" i="11"/>
  <c r="S32" i="11"/>
  <c r="S31" i="11"/>
  <c r="S30" i="11"/>
  <c r="S29" i="11"/>
  <c r="S28" i="11"/>
  <c r="S27" i="11"/>
  <c r="S26" i="11"/>
  <c r="S25" i="11"/>
  <c r="S24" i="11"/>
  <c r="S23" i="11"/>
  <c r="S22" i="11"/>
  <c r="S21" i="11"/>
  <c r="S20" i="11"/>
  <c r="S19" i="11"/>
  <c r="S18" i="11"/>
  <c r="S17" i="11"/>
  <c r="S16" i="11"/>
  <c r="S15" i="11"/>
  <c r="S14" i="11"/>
  <c r="S13" i="11"/>
  <c r="S12" i="11"/>
  <c r="S11" i="11"/>
  <c r="S10" i="11"/>
  <c r="S9" i="11"/>
  <c r="S6" i="11" s="1"/>
  <c r="S8" i="11"/>
  <c r="S7" i="11"/>
  <c r="R6" i="11"/>
  <c r="Q6" i="11"/>
  <c r="P6" i="11"/>
  <c r="O6" i="11"/>
  <c r="N6" i="11"/>
  <c r="M6" i="11"/>
  <c r="L6" i="11"/>
  <c r="K6" i="11"/>
  <c r="J6" i="11"/>
  <c r="I6" i="11"/>
  <c r="H6" i="11"/>
  <c r="G6" i="11"/>
  <c r="F6" i="11"/>
  <c r="BT81" i="9"/>
  <c r="BS81" i="9"/>
  <c r="BR81" i="9"/>
  <c r="BQ81" i="9"/>
  <c r="BO81" i="9"/>
  <c r="BN81" i="9"/>
  <c r="BM81" i="9"/>
  <c r="BL81" i="9"/>
  <c r="BJ81" i="9"/>
  <c r="BI81" i="9"/>
  <c r="BH81" i="9"/>
  <c r="BG81" i="9"/>
  <c r="BE81" i="9"/>
  <c r="BD81" i="9"/>
  <c r="BC81" i="9"/>
  <c r="BB81" i="9"/>
  <c r="AZ81" i="9"/>
  <c r="AY81" i="9"/>
  <c r="AX81" i="9"/>
  <c r="AW81" i="9"/>
  <c r="AU81" i="9"/>
  <c r="AT81" i="9"/>
  <c r="AS81" i="9"/>
  <c r="AR81" i="9"/>
  <c r="AP81" i="9"/>
  <c r="AO81" i="9"/>
  <c r="AN81" i="9"/>
  <c r="AM81" i="9"/>
  <c r="AK81" i="9"/>
  <c r="AJ81" i="9"/>
  <c r="AI81" i="9"/>
  <c r="AH81" i="9"/>
  <c r="AF81" i="9"/>
  <c r="AE81" i="9"/>
  <c r="AD81" i="9"/>
  <c r="AC81" i="9"/>
  <c r="AA81" i="9"/>
  <c r="Z81" i="9"/>
  <c r="Y81" i="9"/>
  <c r="X81" i="9"/>
  <c r="V81" i="9"/>
  <c r="U81" i="9"/>
  <c r="T81" i="9"/>
  <c r="S81" i="9"/>
  <c r="Q81" i="9"/>
  <c r="P81" i="9"/>
  <c r="O81" i="9"/>
  <c r="N81" i="9"/>
  <c r="BU80" i="9"/>
  <c r="BT80" i="9"/>
  <c r="BS80" i="9"/>
  <c r="BR80" i="9"/>
  <c r="BQ80" i="9"/>
  <c r="BP80" i="9"/>
  <c r="BO80" i="9"/>
  <c r="BN80" i="9"/>
  <c r="BM80" i="9"/>
  <c r="BL80" i="9"/>
  <c r="BK80" i="9"/>
  <c r="BJ80" i="9"/>
  <c r="BI80" i="9"/>
  <c r="BH80" i="9"/>
  <c r="BG80" i="9"/>
  <c r="BF80" i="9"/>
  <c r="BE80" i="9"/>
  <c r="BD80" i="9"/>
  <c r="BC80" i="9"/>
  <c r="BB80" i="9"/>
  <c r="BA80" i="9"/>
  <c r="AZ80" i="9"/>
  <c r="AY80" i="9"/>
  <c r="AX80" i="9"/>
  <c r="AW80" i="9"/>
  <c r="AV80" i="9"/>
  <c r="AU80" i="9"/>
  <c r="AT80" i="9"/>
  <c r="AS80" i="9"/>
  <c r="AR80" i="9"/>
  <c r="AQ80" i="9"/>
  <c r="AP80" i="9"/>
  <c r="AO80" i="9"/>
  <c r="AN80" i="9"/>
  <c r="AM80" i="9"/>
  <c r="AL80" i="9"/>
  <c r="AK80" i="9"/>
  <c r="AJ80" i="9"/>
  <c r="AI80" i="9"/>
  <c r="AH80" i="9"/>
  <c r="AG80" i="9"/>
  <c r="AF80" i="9"/>
  <c r="AE80" i="9"/>
  <c r="AD80" i="9"/>
  <c r="AC80" i="9"/>
  <c r="AB80" i="9"/>
  <c r="AA80" i="9"/>
  <c r="Z80" i="9"/>
  <c r="Y80" i="9"/>
  <c r="X80" i="9"/>
  <c r="W80" i="9"/>
  <c r="V80" i="9"/>
  <c r="U80" i="9"/>
  <c r="T80" i="9"/>
  <c r="S80" i="9"/>
  <c r="R80" i="9"/>
  <c r="Q80" i="9"/>
  <c r="P80" i="9"/>
  <c r="O80" i="9"/>
  <c r="N80" i="9"/>
  <c r="M80" i="9"/>
  <c r="BT79" i="9"/>
  <c r="BS79" i="9"/>
  <c r="BR79" i="9"/>
  <c r="BQ79" i="9"/>
  <c r="BO79" i="9"/>
  <c r="BN79" i="9"/>
  <c r="BM79" i="9"/>
  <c r="BL79" i="9"/>
  <c r="BK79" i="9"/>
  <c r="BJ79" i="9"/>
  <c r="BI79" i="9"/>
  <c r="BH79" i="9"/>
  <c r="BG79" i="9"/>
  <c r="BE79" i="9"/>
  <c r="BD79" i="9"/>
  <c r="BC79" i="9"/>
  <c r="BB79" i="9"/>
  <c r="AZ79" i="9"/>
  <c r="AY79" i="9"/>
  <c r="AX79" i="9"/>
  <c r="AW79" i="9"/>
  <c r="AU79" i="9"/>
  <c r="AT79" i="9"/>
  <c r="AS79" i="9"/>
  <c r="AR79" i="9"/>
  <c r="AP79" i="9"/>
  <c r="AO79" i="9"/>
  <c r="AN79" i="9"/>
  <c r="AM79" i="9"/>
  <c r="AK79" i="9"/>
  <c r="AJ79" i="9"/>
  <c r="AI79" i="9"/>
  <c r="AH79" i="9"/>
  <c r="AF79" i="9"/>
  <c r="AE79" i="9"/>
  <c r="AD79" i="9"/>
  <c r="AC79" i="9"/>
  <c r="AA79" i="9"/>
  <c r="Z79" i="9"/>
  <c r="Y79" i="9"/>
  <c r="X79" i="9"/>
  <c r="V79" i="9"/>
  <c r="U79" i="9"/>
  <c r="T79" i="9"/>
  <c r="S79" i="9"/>
  <c r="Q79" i="9"/>
  <c r="P79" i="9"/>
  <c r="O79" i="9"/>
  <c r="N79" i="9"/>
  <c r="BU78" i="9"/>
  <c r="BT78" i="9"/>
  <c r="BS78" i="9"/>
  <c r="BR78" i="9"/>
  <c r="BQ78" i="9"/>
  <c r="BP78" i="9"/>
  <c r="BO78" i="9"/>
  <c r="BN78" i="9"/>
  <c r="BM78" i="9"/>
  <c r="BL78" i="9"/>
  <c r="BK78" i="9"/>
  <c r="BJ78" i="9"/>
  <c r="BI78" i="9"/>
  <c r="BH78" i="9"/>
  <c r="BG78" i="9"/>
  <c r="BF78" i="9"/>
  <c r="BE78" i="9"/>
  <c r="BD78" i="9"/>
  <c r="BC78" i="9"/>
  <c r="BB78" i="9"/>
  <c r="BA78" i="9"/>
  <c r="AZ78" i="9"/>
  <c r="AY78" i="9"/>
  <c r="AX78" i="9"/>
  <c r="AW78" i="9"/>
  <c r="AV78" i="9"/>
  <c r="AU78" i="9"/>
  <c r="AT78" i="9"/>
  <c r="AS78" i="9"/>
  <c r="AR78" i="9"/>
  <c r="AQ78" i="9"/>
  <c r="AP78" i="9"/>
  <c r="AO78" i="9"/>
  <c r="AN78" i="9"/>
  <c r="AM78" i="9"/>
  <c r="AL78" i="9"/>
  <c r="AK78" i="9"/>
  <c r="AJ78" i="9"/>
  <c r="AI78" i="9"/>
  <c r="AH78" i="9"/>
  <c r="AG78" i="9"/>
  <c r="AF78" i="9"/>
  <c r="AE78" i="9"/>
  <c r="AD78" i="9"/>
  <c r="AC78" i="9"/>
  <c r="AB78" i="9"/>
  <c r="AA78" i="9"/>
  <c r="Z78" i="9"/>
  <c r="Y78" i="9"/>
  <c r="X78" i="9"/>
  <c r="W78" i="9"/>
  <c r="V78" i="9"/>
  <c r="U78" i="9"/>
  <c r="T78" i="9"/>
  <c r="S78" i="9"/>
  <c r="R78" i="9"/>
  <c r="Q78" i="9"/>
  <c r="P78" i="9"/>
  <c r="O78" i="9"/>
  <c r="N78" i="9"/>
  <c r="M78" i="9"/>
  <c r="BU77" i="9"/>
  <c r="BT77" i="9"/>
  <c r="BS77" i="9"/>
  <c r="BR77" i="9"/>
  <c r="BQ77" i="9"/>
  <c r="BP77" i="9"/>
  <c r="BO77" i="9"/>
  <c r="BN77" i="9"/>
  <c r="BM77" i="9"/>
  <c r="BL77" i="9"/>
  <c r="BK77" i="9"/>
  <c r="BJ77" i="9"/>
  <c r="BI77" i="9"/>
  <c r="BH77" i="9"/>
  <c r="BG77" i="9"/>
  <c r="BF77" i="9"/>
  <c r="BE77" i="9"/>
  <c r="BD77" i="9"/>
  <c r="BC77" i="9"/>
  <c r="BB77" i="9"/>
  <c r="BA77" i="9"/>
  <c r="AZ77" i="9"/>
  <c r="AY77" i="9"/>
  <c r="AX77" i="9"/>
  <c r="AW77" i="9"/>
  <c r="AV77" i="9"/>
  <c r="AU77" i="9"/>
  <c r="AT77" i="9"/>
  <c r="AS77" i="9"/>
  <c r="AR77" i="9"/>
  <c r="AQ77" i="9"/>
  <c r="AP77" i="9"/>
  <c r="AO77" i="9"/>
  <c r="AN77" i="9"/>
  <c r="AM77" i="9"/>
  <c r="AL77" i="9"/>
  <c r="AK77" i="9"/>
  <c r="AJ77" i="9"/>
  <c r="AI77" i="9"/>
  <c r="AH77" i="9"/>
  <c r="AG77" i="9"/>
  <c r="AF77" i="9"/>
  <c r="AE77" i="9"/>
  <c r="AD77" i="9"/>
  <c r="AC77" i="9"/>
  <c r="AB77" i="9"/>
  <c r="AA77" i="9"/>
  <c r="Z77" i="9"/>
  <c r="Y77" i="9"/>
  <c r="X77" i="9"/>
  <c r="W77" i="9"/>
  <c r="V77" i="9"/>
  <c r="U77" i="9"/>
  <c r="T77" i="9"/>
  <c r="S77" i="9"/>
  <c r="R77" i="9"/>
  <c r="Q77" i="9"/>
  <c r="P77" i="9"/>
  <c r="O77" i="9"/>
  <c r="N77" i="9"/>
  <c r="M77" i="9"/>
  <c r="BU76" i="9"/>
  <c r="BT76" i="9"/>
  <c r="BS76" i="9"/>
  <c r="BR76" i="9"/>
  <c r="BQ76" i="9"/>
  <c r="BP76" i="9"/>
  <c r="BO76" i="9"/>
  <c r="BN76" i="9"/>
  <c r="BM76" i="9"/>
  <c r="BL76" i="9"/>
  <c r="BK76" i="9"/>
  <c r="BJ76" i="9"/>
  <c r="BI76" i="9"/>
  <c r="BH76" i="9"/>
  <c r="BG76" i="9"/>
  <c r="BF76" i="9"/>
  <c r="BE76" i="9"/>
  <c r="BD76" i="9"/>
  <c r="BC76" i="9"/>
  <c r="BB76" i="9"/>
  <c r="BA76" i="9"/>
  <c r="AZ76" i="9"/>
  <c r="AY76" i="9"/>
  <c r="AX76" i="9"/>
  <c r="AW76" i="9"/>
  <c r="AV76" i="9"/>
  <c r="AU76" i="9"/>
  <c r="AT76" i="9"/>
  <c r="AS76" i="9"/>
  <c r="AR76" i="9"/>
  <c r="AQ76" i="9"/>
  <c r="AP76" i="9"/>
  <c r="AO76" i="9"/>
  <c r="AN76" i="9"/>
  <c r="AM76" i="9"/>
  <c r="AL76" i="9"/>
  <c r="AK76" i="9"/>
  <c r="AJ76" i="9"/>
  <c r="AI76" i="9"/>
  <c r="AH76" i="9"/>
  <c r="AG76" i="9"/>
  <c r="AF76" i="9"/>
  <c r="AE76" i="9"/>
  <c r="AD76" i="9"/>
  <c r="AC76" i="9"/>
  <c r="AB76" i="9"/>
  <c r="AA76" i="9"/>
  <c r="Z76" i="9"/>
  <c r="Y76" i="9"/>
  <c r="X76" i="9"/>
  <c r="W76" i="9"/>
  <c r="V76" i="9"/>
  <c r="U76" i="9"/>
  <c r="T76" i="9"/>
  <c r="S76" i="9"/>
  <c r="R76" i="9"/>
  <c r="Q76" i="9"/>
  <c r="P76" i="9"/>
  <c r="O76" i="9"/>
  <c r="N76" i="9"/>
  <c r="M76" i="9"/>
  <c r="BT75" i="9"/>
  <c r="BS75" i="9"/>
  <c r="BR75" i="9"/>
  <c r="BQ75" i="9"/>
  <c r="BP75" i="9"/>
  <c r="BO75" i="9"/>
  <c r="BN75" i="9"/>
  <c r="BM75" i="9"/>
  <c r="BL75" i="9"/>
  <c r="BK75" i="9"/>
  <c r="BJ75" i="9"/>
  <c r="BI75" i="9"/>
  <c r="BH75" i="9"/>
  <c r="BG75" i="9"/>
  <c r="BF75" i="9"/>
  <c r="BE75" i="9"/>
  <c r="BD75" i="9"/>
  <c r="BC75" i="9"/>
  <c r="BB75" i="9"/>
  <c r="BA75" i="9"/>
  <c r="AZ75" i="9"/>
  <c r="AY75" i="9"/>
  <c r="AX75" i="9"/>
  <c r="AW75" i="9"/>
  <c r="AV75" i="9"/>
  <c r="AU75" i="9"/>
  <c r="AT75" i="9"/>
  <c r="AS75" i="9"/>
  <c r="AR75" i="9"/>
  <c r="AQ75" i="9"/>
  <c r="AP75" i="9"/>
  <c r="AO75" i="9"/>
  <c r="AN75" i="9"/>
  <c r="AM75" i="9"/>
  <c r="AL75" i="9"/>
  <c r="AK75" i="9"/>
  <c r="AJ75" i="9"/>
  <c r="AI75" i="9"/>
  <c r="AH75" i="9"/>
  <c r="AG75" i="9"/>
  <c r="AF75" i="9"/>
  <c r="AE75" i="9"/>
  <c r="AD75" i="9"/>
  <c r="AC75" i="9"/>
  <c r="AB75" i="9"/>
  <c r="AA75" i="9"/>
  <c r="Z75" i="9"/>
  <c r="Y75" i="9"/>
  <c r="X75" i="9"/>
  <c r="W75" i="9"/>
  <c r="V75" i="9"/>
  <c r="U75" i="9"/>
  <c r="T75" i="9"/>
  <c r="S75" i="9"/>
  <c r="R75" i="9"/>
  <c r="Q75" i="9"/>
  <c r="P75" i="9"/>
  <c r="O75" i="9"/>
  <c r="N75" i="9"/>
  <c r="M75" i="9"/>
  <c r="BT74" i="9"/>
  <c r="BS74" i="9"/>
  <c r="BR74" i="9"/>
  <c r="BQ74" i="9"/>
  <c r="BP74" i="9"/>
  <c r="BO74" i="9"/>
  <c r="BN74" i="9"/>
  <c r="BM74" i="9"/>
  <c r="BL74" i="9"/>
  <c r="BK74" i="9"/>
  <c r="BJ74" i="9"/>
  <c r="BI74" i="9"/>
  <c r="BH74" i="9"/>
  <c r="BG74" i="9"/>
  <c r="BF74" i="9"/>
  <c r="BE74" i="9"/>
  <c r="BD74" i="9"/>
  <c r="BC74" i="9"/>
  <c r="BB74" i="9"/>
  <c r="BA74" i="9"/>
  <c r="AZ74" i="9"/>
  <c r="AY74" i="9"/>
  <c r="AX74" i="9"/>
  <c r="AW74" i="9"/>
  <c r="AV74" i="9"/>
  <c r="AU74" i="9"/>
  <c r="AT74" i="9"/>
  <c r="AS74" i="9"/>
  <c r="AR74" i="9"/>
  <c r="AQ74" i="9"/>
  <c r="AP74" i="9"/>
  <c r="AO74" i="9"/>
  <c r="AN74" i="9"/>
  <c r="AM74" i="9"/>
  <c r="AL74" i="9"/>
  <c r="AK74" i="9"/>
  <c r="AJ74" i="9"/>
  <c r="AI74" i="9"/>
  <c r="AH74" i="9"/>
  <c r="AG74" i="9"/>
  <c r="AF74" i="9"/>
  <c r="AE74" i="9"/>
  <c r="AD74" i="9"/>
  <c r="AC74" i="9"/>
  <c r="AB74" i="9"/>
  <c r="AA74" i="9"/>
  <c r="Z74" i="9"/>
  <c r="Y74" i="9"/>
  <c r="X74" i="9"/>
  <c r="W74" i="9"/>
  <c r="V74" i="9"/>
  <c r="U74" i="9"/>
  <c r="T74" i="9"/>
  <c r="S74" i="9"/>
  <c r="R74" i="9"/>
  <c r="Q74" i="9"/>
  <c r="P74" i="9"/>
  <c r="O74" i="9"/>
  <c r="N74" i="9"/>
  <c r="M74" i="9"/>
  <c r="BT73" i="9"/>
  <c r="BS73" i="9"/>
  <c r="BR73" i="9"/>
  <c r="BQ73" i="9"/>
  <c r="BO73" i="9"/>
  <c r="BN73" i="9"/>
  <c r="BM73" i="9"/>
  <c r="BL73" i="9"/>
  <c r="BJ73" i="9"/>
  <c r="BI73" i="9"/>
  <c r="BH73" i="9"/>
  <c r="BG73" i="9"/>
  <c r="BE73" i="9"/>
  <c r="BD73" i="9"/>
  <c r="BC73" i="9"/>
  <c r="BB73" i="9"/>
  <c r="AZ73" i="9"/>
  <c r="AY73" i="9"/>
  <c r="AX73" i="9"/>
  <c r="AW73" i="9"/>
  <c r="AU73" i="9"/>
  <c r="AT73" i="9"/>
  <c r="AS73" i="9"/>
  <c r="AR73" i="9"/>
  <c r="AP73" i="9"/>
  <c r="AO73" i="9"/>
  <c r="AN73" i="9"/>
  <c r="AM73" i="9"/>
  <c r="AK73" i="9"/>
  <c r="AJ73" i="9"/>
  <c r="AI73" i="9"/>
  <c r="AH73" i="9"/>
  <c r="AF73" i="9"/>
  <c r="AE73" i="9"/>
  <c r="AD73" i="9"/>
  <c r="AC73" i="9"/>
  <c r="AA73" i="9"/>
  <c r="Z73" i="9"/>
  <c r="Y73" i="9"/>
  <c r="X73" i="9"/>
  <c r="V73" i="9"/>
  <c r="U73" i="9"/>
  <c r="T73" i="9"/>
  <c r="S73" i="9"/>
  <c r="Q73" i="9"/>
  <c r="P73" i="9"/>
  <c r="O73" i="9"/>
  <c r="N73" i="9"/>
  <c r="BU72" i="9"/>
  <c r="BT72" i="9"/>
  <c r="BS72" i="9"/>
  <c r="BR72" i="9"/>
  <c r="BQ72" i="9"/>
  <c r="BP72" i="9"/>
  <c r="BO72" i="9"/>
  <c r="BN72" i="9"/>
  <c r="BM72" i="9"/>
  <c r="BL72" i="9"/>
  <c r="BK72" i="9"/>
  <c r="BJ72" i="9"/>
  <c r="BI72" i="9"/>
  <c r="BH72" i="9"/>
  <c r="BG72" i="9"/>
  <c r="BF72" i="9"/>
  <c r="BE72" i="9"/>
  <c r="BD72" i="9"/>
  <c r="BC72" i="9"/>
  <c r="BB72" i="9"/>
  <c r="BA72" i="9"/>
  <c r="AZ72" i="9"/>
  <c r="AY72" i="9"/>
  <c r="AX72" i="9"/>
  <c r="AW72" i="9"/>
  <c r="AV72" i="9"/>
  <c r="AU72" i="9"/>
  <c r="AT72" i="9"/>
  <c r="AS72" i="9"/>
  <c r="AR72" i="9"/>
  <c r="AQ72" i="9"/>
  <c r="AP72" i="9"/>
  <c r="AO72" i="9"/>
  <c r="AN72" i="9"/>
  <c r="AM72" i="9"/>
  <c r="AL72" i="9"/>
  <c r="AK72" i="9"/>
  <c r="AJ72" i="9"/>
  <c r="AI72" i="9"/>
  <c r="AH72" i="9"/>
  <c r="AG72" i="9"/>
  <c r="AF72" i="9"/>
  <c r="AE72" i="9"/>
  <c r="AD72" i="9"/>
  <c r="AC72" i="9"/>
  <c r="AB72" i="9"/>
  <c r="AA72" i="9"/>
  <c r="Z72" i="9"/>
  <c r="Y72" i="9"/>
  <c r="X72" i="9"/>
  <c r="W72" i="9"/>
  <c r="V72" i="9"/>
  <c r="U72" i="9"/>
  <c r="T72" i="9"/>
  <c r="S72" i="9"/>
  <c r="R72" i="9"/>
  <c r="Q72" i="9"/>
  <c r="P72" i="9"/>
  <c r="O72" i="9"/>
  <c r="N72" i="9"/>
  <c r="M72" i="9"/>
  <c r="BU71" i="9"/>
  <c r="BT71" i="9"/>
  <c r="BS71" i="9"/>
  <c r="BR71" i="9"/>
  <c r="BQ71" i="9"/>
  <c r="BP71" i="9"/>
  <c r="BO71" i="9"/>
  <c r="BN71" i="9"/>
  <c r="BM71" i="9"/>
  <c r="BL71" i="9"/>
  <c r="BK71" i="9"/>
  <c r="BJ71" i="9"/>
  <c r="BI71" i="9"/>
  <c r="BH71" i="9"/>
  <c r="BG71" i="9"/>
  <c r="BF71" i="9"/>
  <c r="BE71" i="9"/>
  <c r="BD71" i="9"/>
  <c r="BC71" i="9"/>
  <c r="BB71" i="9"/>
  <c r="BA71" i="9"/>
  <c r="AZ71" i="9"/>
  <c r="AY71" i="9"/>
  <c r="AX71" i="9"/>
  <c r="AW71" i="9"/>
  <c r="AV71" i="9"/>
  <c r="AU71" i="9"/>
  <c r="AT71" i="9"/>
  <c r="AS71" i="9"/>
  <c r="AR71" i="9"/>
  <c r="AQ71" i="9"/>
  <c r="AP71" i="9"/>
  <c r="AO71" i="9"/>
  <c r="AN71" i="9"/>
  <c r="AM71" i="9"/>
  <c r="AL71" i="9"/>
  <c r="AK71" i="9"/>
  <c r="AJ71" i="9"/>
  <c r="AI71" i="9"/>
  <c r="AH71" i="9"/>
  <c r="AG71" i="9"/>
  <c r="AF71" i="9"/>
  <c r="AE71" i="9"/>
  <c r="AD71" i="9"/>
  <c r="AC71" i="9"/>
  <c r="AB71" i="9"/>
  <c r="AA71" i="9"/>
  <c r="Z71" i="9"/>
  <c r="Y71" i="9"/>
  <c r="X71" i="9"/>
  <c r="W71" i="9"/>
  <c r="V71" i="9"/>
  <c r="U71" i="9"/>
  <c r="T71" i="9"/>
  <c r="S71" i="9"/>
  <c r="R71" i="9"/>
  <c r="Q71" i="9"/>
  <c r="P71" i="9"/>
  <c r="O71" i="9"/>
  <c r="N71" i="9"/>
  <c r="M71" i="9"/>
  <c r="BT70" i="9"/>
  <c r="BS70" i="9"/>
  <c r="BR70" i="9"/>
  <c r="BQ70" i="9"/>
  <c r="BP70" i="9"/>
  <c r="BO70" i="9"/>
  <c r="BN70" i="9"/>
  <c r="BM70" i="9"/>
  <c r="BL70" i="9"/>
  <c r="BK70" i="9"/>
  <c r="BJ70" i="9"/>
  <c r="BI70" i="9"/>
  <c r="BH70" i="9"/>
  <c r="BG70" i="9"/>
  <c r="BF70" i="9"/>
  <c r="BE70" i="9"/>
  <c r="BD70" i="9"/>
  <c r="BC70" i="9"/>
  <c r="BB70" i="9"/>
  <c r="BA70" i="9"/>
  <c r="AZ70" i="9"/>
  <c r="AY70" i="9"/>
  <c r="AX70" i="9"/>
  <c r="AW70" i="9"/>
  <c r="AV70" i="9"/>
  <c r="AU70" i="9"/>
  <c r="AT70" i="9"/>
  <c r="AS70" i="9"/>
  <c r="AR70" i="9"/>
  <c r="AQ70" i="9"/>
  <c r="AP70" i="9"/>
  <c r="AO70" i="9"/>
  <c r="AN70" i="9"/>
  <c r="AM70" i="9"/>
  <c r="AL70" i="9"/>
  <c r="AK70" i="9"/>
  <c r="AJ70" i="9"/>
  <c r="AI70" i="9"/>
  <c r="AH70" i="9"/>
  <c r="AG70" i="9"/>
  <c r="AF70" i="9"/>
  <c r="AE70" i="9"/>
  <c r="AD70" i="9"/>
  <c r="AC70" i="9"/>
  <c r="AB70" i="9"/>
  <c r="AA70" i="9"/>
  <c r="Z70" i="9"/>
  <c r="Y70" i="9"/>
  <c r="X70" i="9"/>
  <c r="W70" i="9"/>
  <c r="V70" i="9"/>
  <c r="U70" i="9"/>
  <c r="T70" i="9"/>
  <c r="S70" i="9"/>
  <c r="R70" i="9"/>
  <c r="Q70" i="9"/>
  <c r="P70" i="9"/>
  <c r="O70" i="9"/>
  <c r="N70" i="9"/>
  <c r="M70" i="9"/>
  <c r="BT69" i="9"/>
  <c r="BS69" i="9"/>
  <c r="BR69" i="9"/>
  <c r="BQ69" i="9"/>
  <c r="BP69" i="9"/>
  <c r="BO69" i="9"/>
  <c r="BN69" i="9"/>
  <c r="BM69" i="9"/>
  <c r="BL69" i="9"/>
  <c r="BK69" i="9"/>
  <c r="BJ69" i="9"/>
  <c r="BI69" i="9"/>
  <c r="BH69" i="9"/>
  <c r="BG69" i="9"/>
  <c r="BF69" i="9"/>
  <c r="BE69" i="9"/>
  <c r="BD69" i="9"/>
  <c r="BC69" i="9"/>
  <c r="BB69" i="9"/>
  <c r="BA69" i="9"/>
  <c r="AZ69" i="9"/>
  <c r="AY69" i="9"/>
  <c r="AX69" i="9"/>
  <c r="AW69" i="9"/>
  <c r="AV69" i="9"/>
  <c r="AU69" i="9"/>
  <c r="AT69" i="9"/>
  <c r="AS69" i="9"/>
  <c r="AR69" i="9"/>
  <c r="AQ69" i="9"/>
  <c r="AP69" i="9"/>
  <c r="AO69" i="9"/>
  <c r="AN69" i="9"/>
  <c r="AM69" i="9"/>
  <c r="AL69" i="9"/>
  <c r="AK69" i="9"/>
  <c r="AJ69" i="9"/>
  <c r="AI69" i="9"/>
  <c r="AH69" i="9"/>
  <c r="AG69" i="9"/>
  <c r="AF69" i="9"/>
  <c r="AE69" i="9"/>
  <c r="AD69" i="9"/>
  <c r="AC69" i="9"/>
  <c r="AB69" i="9"/>
  <c r="AA69" i="9"/>
  <c r="Z69" i="9"/>
  <c r="Y69" i="9"/>
  <c r="X69" i="9"/>
  <c r="W69" i="9"/>
  <c r="V69" i="9"/>
  <c r="U69" i="9"/>
  <c r="T69" i="9"/>
  <c r="S69" i="9"/>
  <c r="R69" i="9"/>
  <c r="Q69" i="9"/>
  <c r="P69" i="9"/>
  <c r="O69" i="9"/>
  <c r="N69" i="9"/>
  <c r="M69" i="9"/>
  <c r="BT68" i="9"/>
  <c r="BS68" i="9"/>
  <c r="BR68" i="9"/>
  <c r="BQ68" i="9"/>
  <c r="BO68" i="9"/>
  <c r="BN68" i="9"/>
  <c r="BM68" i="9"/>
  <c r="BL68" i="9"/>
  <c r="BJ68" i="9"/>
  <c r="BI68" i="9"/>
  <c r="BH68" i="9"/>
  <c r="BG68" i="9"/>
  <c r="BE68" i="9"/>
  <c r="BD68" i="9"/>
  <c r="BC68" i="9"/>
  <c r="BB68" i="9"/>
  <c r="AZ68" i="9"/>
  <c r="AY68" i="9"/>
  <c r="AX68" i="9"/>
  <c r="AW68" i="9"/>
  <c r="AU68" i="9"/>
  <c r="AT68" i="9"/>
  <c r="AS68" i="9"/>
  <c r="AR68" i="9"/>
  <c r="AP68" i="9"/>
  <c r="AO68" i="9"/>
  <c r="AN68" i="9"/>
  <c r="AM68" i="9"/>
  <c r="AK68" i="9"/>
  <c r="AJ68" i="9"/>
  <c r="AI68" i="9"/>
  <c r="AH68" i="9"/>
  <c r="AF68" i="9"/>
  <c r="AE68" i="9"/>
  <c r="AD68" i="9"/>
  <c r="AC68" i="9"/>
  <c r="AA68" i="9"/>
  <c r="Z68" i="9"/>
  <c r="Y68" i="9"/>
  <c r="X68" i="9"/>
  <c r="V68" i="9"/>
  <c r="U68" i="9"/>
  <c r="T68" i="9"/>
  <c r="S68" i="9"/>
  <c r="Q68" i="9"/>
  <c r="P68" i="9"/>
  <c r="O68" i="9"/>
  <c r="N68" i="9"/>
  <c r="BU67" i="9"/>
  <c r="BT67" i="9"/>
  <c r="BS67" i="9"/>
  <c r="BR67" i="9"/>
  <c r="BQ67" i="9"/>
  <c r="BP67" i="9"/>
  <c r="BO67" i="9"/>
  <c r="BN67" i="9"/>
  <c r="BM67" i="9"/>
  <c r="BL67" i="9"/>
  <c r="BK67" i="9"/>
  <c r="BJ67" i="9"/>
  <c r="BI67" i="9"/>
  <c r="BH67" i="9"/>
  <c r="BG67" i="9"/>
  <c r="BF67" i="9"/>
  <c r="BE67" i="9"/>
  <c r="BD67" i="9"/>
  <c r="BC67" i="9"/>
  <c r="BB67" i="9"/>
  <c r="BA67" i="9"/>
  <c r="AZ67" i="9"/>
  <c r="AY67" i="9"/>
  <c r="AX67" i="9"/>
  <c r="AW67" i="9"/>
  <c r="AV67" i="9"/>
  <c r="AU67" i="9"/>
  <c r="AT67" i="9"/>
  <c r="AS67" i="9"/>
  <c r="AR67" i="9"/>
  <c r="AQ67" i="9"/>
  <c r="AP67" i="9"/>
  <c r="AO67" i="9"/>
  <c r="AN67" i="9"/>
  <c r="AM67" i="9"/>
  <c r="AL67" i="9"/>
  <c r="AK67" i="9"/>
  <c r="AJ67" i="9"/>
  <c r="AI67" i="9"/>
  <c r="AH67" i="9"/>
  <c r="AG67" i="9"/>
  <c r="AF67" i="9"/>
  <c r="AE67" i="9"/>
  <c r="AD67" i="9"/>
  <c r="AC67" i="9"/>
  <c r="AB67" i="9"/>
  <c r="AA67" i="9"/>
  <c r="Z67" i="9"/>
  <c r="Y67" i="9"/>
  <c r="X67" i="9"/>
  <c r="W67" i="9"/>
  <c r="V67" i="9"/>
  <c r="U67" i="9"/>
  <c r="T67" i="9"/>
  <c r="S67" i="9"/>
  <c r="R67" i="9"/>
  <c r="Q67" i="9"/>
  <c r="P67" i="9"/>
  <c r="O67" i="9"/>
  <c r="N67" i="9"/>
  <c r="M67" i="9"/>
  <c r="BT66" i="9"/>
  <c r="BS66" i="9"/>
  <c r="BR66" i="9"/>
  <c r="BQ66" i="9"/>
  <c r="BP66" i="9"/>
  <c r="BO66" i="9"/>
  <c r="BN66" i="9"/>
  <c r="BM66" i="9"/>
  <c r="BL66" i="9"/>
  <c r="BK66" i="9"/>
  <c r="BJ66" i="9"/>
  <c r="BI66" i="9"/>
  <c r="BH66" i="9"/>
  <c r="BG66" i="9"/>
  <c r="BF66" i="9"/>
  <c r="BE66" i="9"/>
  <c r="BD66" i="9"/>
  <c r="BC66" i="9"/>
  <c r="BB66" i="9"/>
  <c r="BA66" i="9"/>
  <c r="AZ66" i="9"/>
  <c r="AY66" i="9"/>
  <c r="AX66" i="9"/>
  <c r="AW66" i="9"/>
  <c r="AV66" i="9"/>
  <c r="AU66" i="9"/>
  <c r="AT66" i="9"/>
  <c r="AS66" i="9"/>
  <c r="AR66" i="9"/>
  <c r="AQ66" i="9"/>
  <c r="AP66" i="9"/>
  <c r="AO66" i="9"/>
  <c r="AN66" i="9"/>
  <c r="AM66" i="9"/>
  <c r="AL66" i="9"/>
  <c r="AK66" i="9"/>
  <c r="AJ66" i="9"/>
  <c r="AI66" i="9"/>
  <c r="AH66" i="9"/>
  <c r="AG66" i="9"/>
  <c r="AF66" i="9"/>
  <c r="AE66" i="9"/>
  <c r="AD66" i="9"/>
  <c r="AC66" i="9"/>
  <c r="AB66" i="9"/>
  <c r="AA66" i="9"/>
  <c r="Z66" i="9"/>
  <c r="Y66" i="9"/>
  <c r="X66" i="9"/>
  <c r="W66" i="9"/>
  <c r="V66" i="9"/>
  <c r="U66" i="9"/>
  <c r="T66" i="9"/>
  <c r="S66" i="9"/>
  <c r="R66" i="9"/>
  <c r="Q66" i="9"/>
  <c r="P66" i="9"/>
  <c r="O66" i="9"/>
  <c r="N66" i="9"/>
  <c r="M66" i="9"/>
  <c r="BU65" i="9"/>
  <c r="BT65" i="9"/>
  <c r="BS65" i="9"/>
  <c r="BR65" i="9"/>
  <c r="BQ65" i="9"/>
  <c r="BP65" i="9"/>
  <c r="BO65" i="9"/>
  <c r="BN65" i="9"/>
  <c r="BM65" i="9"/>
  <c r="BL65" i="9"/>
  <c r="BK65" i="9"/>
  <c r="BJ65" i="9"/>
  <c r="BI65" i="9"/>
  <c r="BH65" i="9"/>
  <c r="BG65" i="9"/>
  <c r="BF65" i="9"/>
  <c r="BE65" i="9"/>
  <c r="BD65" i="9"/>
  <c r="BC65" i="9"/>
  <c r="BB65" i="9"/>
  <c r="BA65" i="9"/>
  <c r="AZ65" i="9"/>
  <c r="AY65" i="9"/>
  <c r="AX65" i="9"/>
  <c r="AW65" i="9"/>
  <c r="AV65" i="9"/>
  <c r="AU65" i="9"/>
  <c r="AT65" i="9"/>
  <c r="AS65" i="9"/>
  <c r="AR65" i="9"/>
  <c r="AQ65" i="9"/>
  <c r="AP65" i="9"/>
  <c r="AO65" i="9"/>
  <c r="AN65" i="9"/>
  <c r="AM65" i="9"/>
  <c r="AL65" i="9"/>
  <c r="AK65" i="9"/>
  <c r="AJ65" i="9"/>
  <c r="AI65" i="9"/>
  <c r="AH65" i="9"/>
  <c r="AG65" i="9"/>
  <c r="AF65" i="9"/>
  <c r="AE65" i="9"/>
  <c r="AD65" i="9"/>
  <c r="AC65" i="9"/>
  <c r="AB65" i="9"/>
  <c r="AA65" i="9"/>
  <c r="Z65" i="9"/>
  <c r="Y65" i="9"/>
  <c r="X65" i="9"/>
  <c r="W65" i="9"/>
  <c r="V65" i="9"/>
  <c r="U65" i="9"/>
  <c r="T65" i="9"/>
  <c r="S65" i="9"/>
  <c r="R65" i="9"/>
  <c r="Q65" i="9"/>
  <c r="P65" i="9"/>
  <c r="O65" i="9"/>
  <c r="N65" i="9"/>
  <c r="M65" i="9"/>
  <c r="BT64" i="9"/>
  <c r="BS64" i="9"/>
  <c r="BR64" i="9"/>
  <c r="BQ64" i="9"/>
  <c r="BP64" i="9"/>
  <c r="BO64" i="9"/>
  <c r="BN64" i="9"/>
  <c r="BM64" i="9"/>
  <c r="BL64" i="9"/>
  <c r="BK64" i="9"/>
  <c r="BJ64" i="9"/>
  <c r="BI64" i="9"/>
  <c r="BH64" i="9"/>
  <c r="BG64" i="9"/>
  <c r="BE64" i="9"/>
  <c r="BD64" i="9"/>
  <c r="BC64" i="9"/>
  <c r="BB64" i="9"/>
  <c r="BA64" i="9"/>
  <c r="AZ64" i="9"/>
  <c r="AY64" i="9"/>
  <c r="AX64" i="9"/>
  <c r="AW64" i="9"/>
  <c r="AV64" i="9"/>
  <c r="AU64" i="9"/>
  <c r="AT64" i="9"/>
  <c r="AS64" i="9"/>
  <c r="AR64" i="9"/>
  <c r="AQ64" i="9"/>
  <c r="AP64" i="9"/>
  <c r="AO64" i="9"/>
  <c r="AN64" i="9"/>
  <c r="AM64" i="9"/>
  <c r="AL64" i="9"/>
  <c r="AK64" i="9"/>
  <c r="AJ64" i="9"/>
  <c r="AI64" i="9"/>
  <c r="AH64" i="9"/>
  <c r="AF64" i="9"/>
  <c r="AE64" i="9"/>
  <c r="AD64" i="9"/>
  <c r="AC64" i="9"/>
  <c r="AB64" i="9"/>
  <c r="AA64" i="9"/>
  <c r="Z64" i="9"/>
  <c r="Y64" i="9"/>
  <c r="X64" i="9"/>
  <c r="W64" i="9"/>
  <c r="V64" i="9"/>
  <c r="U64" i="9"/>
  <c r="T64" i="9"/>
  <c r="S64" i="9"/>
  <c r="R64" i="9"/>
  <c r="Q64" i="9"/>
  <c r="P64" i="9"/>
  <c r="O64" i="9"/>
  <c r="N64" i="9"/>
  <c r="M64" i="9"/>
  <c r="BU63" i="9"/>
  <c r="BT63" i="9"/>
  <c r="BS63" i="9"/>
  <c r="BR63" i="9"/>
  <c r="BQ63" i="9"/>
  <c r="BP63" i="9"/>
  <c r="BO63" i="9"/>
  <c r="BN63" i="9"/>
  <c r="BM63" i="9"/>
  <c r="BL63" i="9"/>
  <c r="BK63" i="9"/>
  <c r="BJ63" i="9"/>
  <c r="BI63" i="9"/>
  <c r="BH63" i="9"/>
  <c r="BG63" i="9"/>
  <c r="BF63" i="9"/>
  <c r="BE63" i="9"/>
  <c r="BD63" i="9"/>
  <c r="BC63" i="9"/>
  <c r="BB63" i="9"/>
  <c r="BA63" i="9"/>
  <c r="AZ63" i="9"/>
  <c r="AY63" i="9"/>
  <c r="AX63" i="9"/>
  <c r="AW63" i="9"/>
  <c r="AV63" i="9"/>
  <c r="AU63" i="9"/>
  <c r="AT63" i="9"/>
  <c r="AS63" i="9"/>
  <c r="AR63" i="9"/>
  <c r="AQ63" i="9"/>
  <c r="AP63" i="9"/>
  <c r="AO63" i="9"/>
  <c r="AN63" i="9"/>
  <c r="AM63" i="9"/>
  <c r="AL63" i="9"/>
  <c r="AK63" i="9"/>
  <c r="AJ63" i="9"/>
  <c r="AI63" i="9"/>
  <c r="AH63" i="9"/>
  <c r="AG63" i="9"/>
  <c r="AF63" i="9"/>
  <c r="AE63" i="9"/>
  <c r="AD63" i="9"/>
  <c r="AC63" i="9"/>
  <c r="AB63" i="9"/>
  <c r="AA63" i="9"/>
  <c r="Z63" i="9"/>
  <c r="Y63" i="9"/>
  <c r="X63" i="9"/>
  <c r="W63" i="9"/>
  <c r="V63" i="9"/>
  <c r="U63" i="9"/>
  <c r="T63" i="9"/>
  <c r="S63" i="9"/>
  <c r="R63" i="9"/>
  <c r="Q63" i="9"/>
  <c r="P63" i="9"/>
  <c r="O63" i="9"/>
  <c r="N63" i="9"/>
  <c r="M63" i="9"/>
  <c r="BU62" i="9"/>
  <c r="BT62" i="9"/>
  <c r="BS62" i="9"/>
  <c r="BR62" i="9"/>
  <c r="BQ62" i="9"/>
  <c r="BP62" i="9"/>
  <c r="BO62" i="9"/>
  <c r="BN62" i="9"/>
  <c r="BM62" i="9"/>
  <c r="BL62" i="9"/>
  <c r="BK62" i="9"/>
  <c r="BJ62" i="9"/>
  <c r="BI62" i="9"/>
  <c r="BH62" i="9"/>
  <c r="BG62" i="9"/>
  <c r="BF62" i="9"/>
  <c r="BE62" i="9"/>
  <c r="BD62" i="9"/>
  <c r="BC62" i="9"/>
  <c r="BB62" i="9"/>
  <c r="BA62" i="9"/>
  <c r="AZ62" i="9"/>
  <c r="AY62" i="9"/>
  <c r="AX62" i="9"/>
  <c r="AW62" i="9"/>
  <c r="AV62" i="9"/>
  <c r="AU62" i="9"/>
  <c r="AT62" i="9"/>
  <c r="AS62" i="9"/>
  <c r="AR62" i="9"/>
  <c r="AQ62" i="9"/>
  <c r="AP62" i="9"/>
  <c r="AO62" i="9"/>
  <c r="AN62" i="9"/>
  <c r="AM62" i="9"/>
  <c r="AL62" i="9"/>
  <c r="AK62" i="9"/>
  <c r="AJ62" i="9"/>
  <c r="AI62" i="9"/>
  <c r="AH62" i="9"/>
  <c r="AG62" i="9"/>
  <c r="AF62" i="9"/>
  <c r="AE62" i="9"/>
  <c r="AD62" i="9"/>
  <c r="AC62" i="9"/>
  <c r="AB62" i="9"/>
  <c r="AA62" i="9"/>
  <c r="Z62" i="9"/>
  <c r="Y62" i="9"/>
  <c r="X62" i="9"/>
  <c r="W62" i="9"/>
  <c r="V62" i="9"/>
  <c r="U62" i="9"/>
  <c r="T62" i="9"/>
  <c r="S62" i="9"/>
  <c r="R62" i="9"/>
  <c r="Q62" i="9"/>
  <c r="P62" i="9"/>
  <c r="O62" i="9"/>
  <c r="N62" i="9"/>
  <c r="M62" i="9"/>
  <c r="BU61" i="9"/>
  <c r="BT61" i="9"/>
  <c r="BS61" i="9"/>
  <c r="BR61" i="9"/>
  <c r="BQ61" i="9"/>
  <c r="BP61" i="9"/>
  <c r="BO61" i="9"/>
  <c r="BN61" i="9"/>
  <c r="BM61" i="9"/>
  <c r="BL61" i="9"/>
  <c r="BK61" i="9"/>
  <c r="BJ61" i="9"/>
  <c r="BI61" i="9"/>
  <c r="BH61" i="9"/>
  <c r="BG61" i="9"/>
  <c r="BF61" i="9"/>
  <c r="BE61" i="9"/>
  <c r="BD61" i="9"/>
  <c r="BC61" i="9"/>
  <c r="BB61" i="9"/>
  <c r="BA61" i="9"/>
  <c r="AZ61" i="9"/>
  <c r="AY61" i="9"/>
  <c r="AX61" i="9"/>
  <c r="AW61" i="9"/>
  <c r="AV61" i="9"/>
  <c r="AU61" i="9"/>
  <c r="AT61" i="9"/>
  <c r="AS61" i="9"/>
  <c r="AR61" i="9"/>
  <c r="AQ61" i="9"/>
  <c r="AP61" i="9"/>
  <c r="AO61" i="9"/>
  <c r="AN61" i="9"/>
  <c r="AM61" i="9"/>
  <c r="AL61" i="9"/>
  <c r="AK61" i="9"/>
  <c r="AJ61" i="9"/>
  <c r="AI61" i="9"/>
  <c r="AH61" i="9"/>
  <c r="AG61" i="9"/>
  <c r="AF61" i="9"/>
  <c r="AE61" i="9"/>
  <c r="AD61" i="9"/>
  <c r="AC61" i="9"/>
  <c r="AB61" i="9"/>
  <c r="AA61" i="9"/>
  <c r="Z61" i="9"/>
  <c r="Y61" i="9"/>
  <c r="X61" i="9"/>
  <c r="W61" i="9"/>
  <c r="V61" i="9"/>
  <c r="U61" i="9"/>
  <c r="T61" i="9"/>
  <c r="S61" i="9"/>
  <c r="R61" i="9"/>
  <c r="Q61" i="9"/>
  <c r="P61" i="9"/>
  <c r="O61" i="9"/>
  <c r="N61" i="9"/>
  <c r="M61" i="9"/>
  <c r="BT60" i="9"/>
  <c r="BS60" i="9"/>
  <c r="BR60" i="9"/>
  <c r="BQ60" i="9"/>
  <c r="BP60" i="9"/>
  <c r="BO60" i="9"/>
  <c r="BN60" i="9"/>
  <c r="BM60" i="9"/>
  <c r="BL60" i="9"/>
  <c r="BK60" i="9"/>
  <c r="BJ60" i="9"/>
  <c r="BI60" i="9"/>
  <c r="BH60" i="9"/>
  <c r="BG60" i="9"/>
  <c r="BF60" i="9"/>
  <c r="BE60" i="9"/>
  <c r="BD60" i="9"/>
  <c r="BC60" i="9"/>
  <c r="BB60" i="9"/>
  <c r="BA60" i="9"/>
  <c r="AZ60" i="9"/>
  <c r="AY60" i="9"/>
  <c r="AX60" i="9"/>
  <c r="AW60" i="9"/>
  <c r="AV60" i="9"/>
  <c r="AU60" i="9"/>
  <c r="AT60" i="9"/>
  <c r="AS60" i="9"/>
  <c r="AR60" i="9"/>
  <c r="AQ60" i="9"/>
  <c r="AP60" i="9"/>
  <c r="AO60" i="9"/>
  <c r="AN60" i="9"/>
  <c r="AM60" i="9"/>
  <c r="AL60" i="9"/>
  <c r="AK60" i="9"/>
  <c r="AJ60" i="9"/>
  <c r="AI60" i="9"/>
  <c r="AH60" i="9"/>
  <c r="AG60" i="9"/>
  <c r="AF60" i="9"/>
  <c r="AE60" i="9"/>
  <c r="AD60" i="9"/>
  <c r="AC60" i="9"/>
  <c r="AB60" i="9"/>
  <c r="AA60" i="9"/>
  <c r="Z60" i="9"/>
  <c r="Y60" i="9"/>
  <c r="X60" i="9"/>
  <c r="W60" i="9"/>
  <c r="V60" i="9"/>
  <c r="U60" i="9"/>
  <c r="T60" i="9"/>
  <c r="S60" i="9"/>
  <c r="R60" i="9"/>
  <c r="Q60" i="9"/>
  <c r="P60" i="9"/>
  <c r="O60" i="9"/>
  <c r="N60" i="9"/>
  <c r="M60" i="9"/>
  <c r="BT59" i="9"/>
  <c r="BS59" i="9"/>
  <c r="BR59" i="9"/>
  <c r="BQ59" i="9"/>
  <c r="BP59" i="9"/>
  <c r="BO59" i="9"/>
  <c r="BN59" i="9"/>
  <c r="BM59" i="9"/>
  <c r="BL59" i="9"/>
  <c r="BK59" i="9"/>
  <c r="BJ59" i="9"/>
  <c r="BI59" i="9"/>
  <c r="BH59" i="9"/>
  <c r="BG59" i="9"/>
  <c r="BF59" i="9"/>
  <c r="BE59" i="9"/>
  <c r="BD59" i="9"/>
  <c r="BC59" i="9"/>
  <c r="BB59" i="9"/>
  <c r="BA59" i="9"/>
  <c r="AZ59" i="9"/>
  <c r="AY59" i="9"/>
  <c r="AX59" i="9"/>
  <c r="AW59" i="9"/>
  <c r="AV59" i="9"/>
  <c r="AU59" i="9"/>
  <c r="AT59" i="9"/>
  <c r="AS59" i="9"/>
  <c r="AR59" i="9"/>
  <c r="AQ59" i="9"/>
  <c r="AP59" i="9"/>
  <c r="AO59" i="9"/>
  <c r="AN59" i="9"/>
  <c r="AM59" i="9"/>
  <c r="AL59" i="9"/>
  <c r="AK59" i="9"/>
  <c r="AJ59" i="9"/>
  <c r="AI59" i="9"/>
  <c r="AH59" i="9"/>
  <c r="AG59" i="9"/>
  <c r="AF59" i="9"/>
  <c r="AE59" i="9"/>
  <c r="AD59" i="9"/>
  <c r="AC59" i="9"/>
  <c r="AB59" i="9"/>
  <c r="AA59" i="9"/>
  <c r="Z59" i="9"/>
  <c r="Y59" i="9"/>
  <c r="X59" i="9"/>
  <c r="W59" i="9"/>
  <c r="V59" i="9"/>
  <c r="U59" i="9"/>
  <c r="T59" i="9"/>
  <c r="S59" i="9"/>
  <c r="R59" i="9"/>
  <c r="Q59" i="9"/>
  <c r="P59" i="9"/>
  <c r="O59" i="9"/>
  <c r="N59" i="9"/>
  <c r="M59" i="9"/>
  <c r="BT58" i="9"/>
  <c r="BS58" i="9"/>
  <c r="BR58" i="9"/>
  <c r="BQ58" i="9"/>
  <c r="BO58" i="9"/>
  <c r="BN58" i="9"/>
  <c r="BM58" i="9"/>
  <c r="BL58" i="9"/>
  <c r="BJ58" i="9"/>
  <c r="BI58" i="9"/>
  <c r="BH58" i="9"/>
  <c r="BG58" i="9"/>
  <c r="BE58" i="9"/>
  <c r="BD58" i="9"/>
  <c r="BC58" i="9"/>
  <c r="BB58" i="9"/>
  <c r="AZ58" i="9"/>
  <c r="AY58" i="9"/>
  <c r="AX58" i="9"/>
  <c r="AW58" i="9"/>
  <c r="AU58" i="9"/>
  <c r="AT58" i="9"/>
  <c r="AS58" i="9"/>
  <c r="AR58" i="9"/>
  <c r="AP58" i="9"/>
  <c r="AO58" i="9"/>
  <c r="AN58" i="9"/>
  <c r="AM58" i="9"/>
  <c r="AK58" i="9"/>
  <c r="AJ58" i="9"/>
  <c r="AI58" i="9"/>
  <c r="AH58" i="9"/>
  <c r="AF58" i="9"/>
  <c r="AE58" i="9"/>
  <c r="AD58" i="9"/>
  <c r="AC58" i="9"/>
  <c r="AA58" i="9"/>
  <c r="Z58" i="9"/>
  <c r="Y58" i="9"/>
  <c r="X58" i="9"/>
  <c r="V58" i="9"/>
  <c r="U58" i="9"/>
  <c r="T58" i="9"/>
  <c r="S58" i="9"/>
  <c r="Q58" i="9"/>
  <c r="P58" i="9"/>
  <c r="O58" i="9"/>
  <c r="N58" i="9"/>
  <c r="BU57" i="9"/>
  <c r="BT57" i="9"/>
  <c r="BS57" i="9"/>
  <c r="BR57" i="9"/>
  <c r="BQ57" i="9"/>
  <c r="BP57" i="9"/>
  <c r="BO57" i="9"/>
  <c r="BN57" i="9"/>
  <c r="BM57" i="9"/>
  <c r="BL57" i="9"/>
  <c r="BK57" i="9"/>
  <c r="BJ57" i="9"/>
  <c r="BI57" i="9"/>
  <c r="BH57" i="9"/>
  <c r="BG57" i="9"/>
  <c r="BF57" i="9"/>
  <c r="BE57" i="9"/>
  <c r="BD57" i="9"/>
  <c r="BC57" i="9"/>
  <c r="BB57" i="9"/>
  <c r="BA57" i="9"/>
  <c r="AZ57" i="9"/>
  <c r="AY57" i="9"/>
  <c r="AX57" i="9"/>
  <c r="AW57" i="9"/>
  <c r="AV57" i="9"/>
  <c r="AU57" i="9"/>
  <c r="AT57" i="9"/>
  <c r="AS57" i="9"/>
  <c r="AR57" i="9"/>
  <c r="AQ57" i="9"/>
  <c r="AP57" i="9"/>
  <c r="AO57" i="9"/>
  <c r="AN57" i="9"/>
  <c r="AM57" i="9"/>
  <c r="AL57" i="9"/>
  <c r="AK57" i="9"/>
  <c r="AJ57" i="9"/>
  <c r="AI57" i="9"/>
  <c r="AH57" i="9"/>
  <c r="AG57" i="9"/>
  <c r="AF57" i="9"/>
  <c r="AE57" i="9"/>
  <c r="AD57" i="9"/>
  <c r="AC57" i="9"/>
  <c r="AB57" i="9"/>
  <c r="AA57" i="9"/>
  <c r="Z57" i="9"/>
  <c r="Y57" i="9"/>
  <c r="X57" i="9"/>
  <c r="W57" i="9"/>
  <c r="V57" i="9"/>
  <c r="U57" i="9"/>
  <c r="T57" i="9"/>
  <c r="S57" i="9"/>
  <c r="R57" i="9"/>
  <c r="Q57" i="9"/>
  <c r="P57" i="9"/>
  <c r="O57" i="9"/>
  <c r="N57" i="9"/>
  <c r="M57" i="9"/>
  <c r="BT56" i="9"/>
  <c r="BS56" i="9"/>
  <c r="BR56" i="9"/>
  <c r="BQ56" i="9"/>
  <c r="BO56" i="9"/>
  <c r="BN56" i="9"/>
  <c r="BM56" i="9"/>
  <c r="BL56" i="9"/>
  <c r="BJ56" i="9"/>
  <c r="BI56" i="9"/>
  <c r="BH56" i="9"/>
  <c r="BG56" i="9"/>
  <c r="BE56" i="9"/>
  <c r="BD56" i="9"/>
  <c r="BC56" i="9"/>
  <c r="BB56" i="9"/>
  <c r="AZ56" i="9"/>
  <c r="AY56" i="9"/>
  <c r="AX56" i="9"/>
  <c r="AW56" i="9"/>
  <c r="AU56" i="9"/>
  <c r="AT56" i="9"/>
  <c r="AS56" i="9"/>
  <c r="AR56" i="9"/>
  <c r="AP56" i="9"/>
  <c r="AO56" i="9"/>
  <c r="AN56" i="9"/>
  <c r="AM56" i="9"/>
  <c r="AK56" i="9"/>
  <c r="AJ56" i="9"/>
  <c r="AI56" i="9"/>
  <c r="AH56" i="9"/>
  <c r="AF56" i="9"/>
  <c r="AE56" i="9"/>
  <c r="AD56" i="9"/>
  <c r="AC56" i="9"/>
  <c r="AA56" i="9"/>
  <c r="Z56" i="9"/>
  <c r="Y56" i="9"/>
  <c r="X56" i="9"/>
  <c r="V56" i="9"/>
  <c r="U56" i="9"/>
  <c r="T56" i="9"/>
  <c r="S56" i="9"/>
  <c r="Q56" i="9"/>
  <c r="P56" i="9"/>
  <c r="O56" i="9"/>
  <c r="N56" i="9"/>
  <c r="M56" i="9"/>
  <c r="BT55" i="9"/>
  <c r="BS55" i="9"/>
  <c r="BR55" i="9"/>
  <c r="BQ55" i="9"/>
  <c r="BO55" i="9"/>
  <c r="BN55" i="9"/>
  <c r="BM55" i="9"/>
  <c r="BL55" i="9"/>
  <c r="BJ55" i="9"/>
  <c r="BI55" i="9"/>
  <c r="BH55" i="9"/>
  <c r="BG55" i="9"/>
  <c r="BE55" i="9"/>
  <c r="BD55" i="9"/>
  <c r="BC55" i="9"/>
  <c r="BB55" i="9"/>
  <c r="AZ55" i="9"/>
  <c r="AY55" i="9"/>
  <c r="AX55" i="9"/>
  <c r="AW55" i="9"/>
  <c r="AU55" i="9"/>
  <c r="AT55" i="9"/>
  <c r="AS55" i="9"/>
  <c r="AR55" i="9"/>
  <c r="AP55" i="9"/>
  <c r="AO55" i="9"/>
  <c r="AN55" i="9"/>
  <c r="AM55" i="9"/>
  <c r="AK55" i="9"/>
  <c r="AJ55" i="9"/>
  <c r="AI55" i="9"/>
  <c r="AH55" i="9"/>
  <c r="AF55" i="9"/>
  <c r="AE55" i="9"/>
  <c r="AD55" i="9"/>
  <c r="AC55" i="9"/>
  <c r="AA55" i="9"/>
  <c r="Z55" i="9"/>
  <c r="Y55" i="9"/>
  <c r="X55" i="9"/>
  <c r="V55" i="9"/>
  <c r="U55" i="9"/>
  <c r="T55" i="9"/>
  <c r="S55" i="9"/>
  <c r="Q55" i="9"/>
  <c r="P55" i="9"/>
  <c r="O55" i="9"/>
  <c r="N55" i="9"/>
  <c r="M55" i="9"/>
  <c r="BT54" i="9"/>
  <c r="BS54" i="9"/>
  <c r="BR54" i="9"/>
  <c r="BQ54" i="9"/>
  <c r="BO54" i="9"/>
  <c r="BN54" i="9"/>
  <c r="BM54" i="9"/>
  <c r="BL54" i="9"/>
  <c r="BJ54" i="9"/>
  <c r="BI54" i="9"/>
  <c r="BH54" i="9"/>
  <c r="BG54" i="9"/>
  <c r="BE54" i="9"/>
  <c r="BD54" i="9"/>
  <c r="BC54" i="9"/>
  <c r="BB54" i="9"/>
  <c r="AZ54" i="9"/>
  <c r="AY54" i="9"/>
  <c r="AX54" i="9"/>
  <c r="AW54" i="9"/>
  <c r="AU54" i="9"/>
  <c r="AT54" i="9"/>
  <c r="AS54" i="9"/>
  <c r="AR54" i="9"/>
  <c r="AP54" i="9"/>
  <c r="AO54" i="9"/>
  <c r="AN54" i="9"/>
  <c r="AM54" i="9"/>
  <c r="AK54" i="9"/>
  <c r="AJ54" i="9"/>
  <c r="AI54" i="9"/>
  <c r="AH54" i="9"/>
  <c r="AF54" i="9"/>
  <c r="AE54" i="9"/>
  <c r="AD54" i="9"/>
  <c r="AC54" i="9"/>
  <c r="AA54" i="9"/>
  <c r="Z54" i="9"/>
  <c r="Y54" i="9"/>
  <c r="X54" i="9"/>
  <c r="V54" i="9"/>
  <c r="U54" i="9"/>
  <c r="T54" i="9"/>
  <c r="S54" i="9"/>
  <c r="Q54" i="9"/>
  <c r="P54" i="9"/>
  <c r="O54" i="9"/>
  <c r="N54" i="9"/>
  <c r="BT53" i="9"/>
  <c r="BS53" i="9"/>
  <c r="BR53" i="9"/>
  <c r="BQ53" i="9"/>
  <c r="BO53" i="9"/>
  <c r="BN53" i="9"/>
  <c r="BM53" i="9"/>
  <c r="BL53" i="9"/>
  <c r="BJ53" i="9"/>
  <c r="BI53" i="9"/>
  <c r="BH53" i="9"/>
  <c r="BG53" i="9"/>
  <c r="BE53" i="9"/>
  <c r="BD53" i="9"/>
  <c r="BC53" i="9"/>
  <c r="BB53" i="9"/>
  <c r="AZ53" i="9"/>
  <c r="AY53" i="9"/>
  <c r="AX53" i="9"/>
  <c r="AW53" i="9"/>
  <c r="AU53" i="9"/>
  <c r="AT53" i="9"/>
  <c r="AS53" i="9"/>
  <c r="AR53" i="9"/>
  <c r="AP53" i="9"/>
  <c r="AO53" i="9"/>
  <c r="AN53" i="9"/>
  <c r="AM53" i="9"/>
  <c r="AK53" i="9"/>
  <c r="AJ53" i="9"/>
  <c r="AI53" i="9"/>
  <c r="AH53" i="9"/>
  <c r="AF53" i="9"/>
  <c r="AE53" i="9"/>
  <c r="AD53" i="9"/>
  <c r="AC53" i="9"/>
  <c r="AA53" i="9"/>
  <c r="Z53" i="9"/>
  <c r="Y53" i="9"/>
  <c r="X53" i="9"/>
  <c r="V53" i="9"/>
  <c r="U53" i="9"/>
  <c r="T53" i="9"/>
  <c r="S53" i="9"/>
  <c r="Q53" i="9"/>
  <c r="P53" i="9"/>
  <c r="O53" i="9"/>
  <c r="N53" i="9"/>
  <c r="BP79" i="9"/>
  <c r="BF38" i="9"/>
  <c r="BF79" i="9" s="1"/>
  <c r="BA38" i="9"/>
  <c r="BA79" i="9" s="1"/>
  <c r="AV38" i="9"/>
  <c r="AV79" i="9" s="1"/>
  <c r="AQ38" i="9"/>
  <c r="AQ79" i="9" s="1"/>
  <c r="AL38" i="9"/>
  <c r="AL79" i="9" s="1"/>
  <c r="AG38" i="9"/>
  <c r="AG79" i="9" s="1"/>
  <c r="AB38" i="9"/>
  <c r="AB79" i="9" s="1"/>
  <c r="W38" i="9"/>
  <c r="W79" i="9" s="1"/>
  <c r="R38" i="9"/>
  <c r="R79" i="9" s="1"/>
  <c r="M38" i="9"/>
  <c r="M79" i="9" s="1"/>
  <c r="BU34" i="9"/>
  <c r="BU75" i="9" s="1"/>
  <c r="BU33" i="9"/>
  <c r="BU32" i="9" s="1"/>
  <c r="BP32" i="9"/>
  <c r="BP73" i="9" s="1"/>
  <c r="BK32" i="9"/>
  <c r="BK73" i="9" s="1"/>
  <c r="BF32" i="9"/>
  <c r="BF73" i="9" s="1"/>
  <c r="BA32" i="9"/>
  <c r="BA73" i="9" s="1"/>
  <c r="AV32" i="9"/>
  <c r="AQ32" i="9"/>
  <c r="AQ73" i="9" s="1"/>
  <c r="AL32" i="9"/>
  <c r="AL73" i="9" s="1"/>
  <c r="AG32" i="9"/>
  <c r="AG73" i="9" s="1"/>
  <c r="AB32" i="9"/>
  <c r="AB73" i="9" s="1"/>
  <c r="W32" i="9"/>
  <c r="W73" i="9" s="1"/>
  <c r="R32" i="9"/>
  <c r="M32" i="9"/>
  <c r="M73" i="9" s="1"/>
  <c r="H32" i="9"/>
  <c r="BU29" i="9"/>
  <c r="BU28" i="9"/>
  <c r="BU69" i="9" s="1"/>
  <c r="H28" i="9"/>
  <c r="H27" i="9" s="1"/>
  <c r="BP27" i="9"/>
  <c r="BP68" i="9" s="1"/>
  <c r="BK27" i="9"/>
  <c r="BF27" i="9"/>
  <c r="BF68" i="9" s="1"/>
  <c r="BA27" i="9"/>
  <c r="AV27" i="9"/>
  <c r="AV68" i="9" s="1"/>
  <c r="AQ27" i="9"/>
  <c r="AL27" i="9"/>
  <c r="AL68" i="9" s="1"/>
  <c r="AG27" i="9"/>
  <c r="AB27" i="9"/>
  <c r="AB68" i="9" s="1"/>
  <c r="W27" i="9"/>
  <c r="R27" i="9"/>
  <c r="R68" i="9" s="1"/>
  <c r="M27" i="9"/>
  <c r="BU25" i="9"/>
  <c r="BU66" i="9" s="1"/>
  <c r="BF64" i="9"/>
  <c r="AG64" i="9"/>
  <c r="BU23" i="9"/>
  <c r="BU19" i="9"/>
  <c r="BU18" i="9"/>
  <c r="BP17" i="9"/>
  <c r="BP58" i="9" s="1"/>
  <c r="BK17" i="9"/>
  <c r="BF17" i="9"/>
  <c r="BF58" i="9" s="1"/>
  <c r="BA17" i="9"/>
  <c r="AV17" i="9"/>
  <c r="AV58" i="9" s="1"/>
  <c r="AQ17" i="9"/>
  <c r="AL17" i="9"/>
  <c r="AL58" i="9" s="1"/>
  <c r="AG17" i="9"/>
  <c r="AB17" i="9"/>
  <c r="AB58" i="9" s="1"/>
  <c r="W17" i="9"/>
  <c r="R17" i="9"/>
  <c r="R58" i="9" s="1"/>
  <c r="M17" i="9"/>
  <c r="H17" i="9"/>
  <c r="BU15" i="9"/>
  <c r="BU56" i="9" s="1"/>
  <c r="BP15" i="9"/>
  <c r="BP56" i="9" s="1"/>
  <c r="BK15" i="9"/>
  <c r="BK56" i="9" s="1"/>
  <c r="BF15" i="9"/>
  <c r="BF56" i="9" s="1"/>
  <c r="BA15" i="9"/>
  <c r="BA56" i="9" s="1"/>
  <c r="AV15" i="9"/>
  <c r="AV56" i="9" s="1"/>
  <c r="AQ15" i="9"/>
  <c r="AQ56" i="9" s="1"/>
  <c r="AL15" i="9"/>
  <c r="AL56" i="9" s="1"/>
  <c r="AG15" i="9"/>
  <c r="AG56" i="9" s="1"/>
  <c r="AB15" i="9"/>
  <c r="AB56" i="9" s="1"/>
  <c r="W15" i="9"/>
  <c r="W56" i="9" s="1"/>
  <c r="R15" i="9"/>
  <c r="R56" i="9" s="1"/>
  <c r="BU14" i="9"/>
  <c r="BU13" i="9" s="1"/>
  <c r="BP14" i="9"/>
  <c r="BP55" i="9" s="1"/>
  <c r="BK14" i="9"/>
  <c r="BK13" i="9" s="1"/>
  <c r="BK54" i="9" s="1"/>
  <c r="BF14" i="9"/>
  <c r="BF13" i="9" s="1"/>
  <c r="BA14" i="9"/>
  <c r="BA55" i="9" s="1"/>
  <c r="AV14" i="9"/>
  <c r="AV55" i="9" s="1"/>
  <c r="AQ14" i="9"/>
  <c r="AQ13" i="9" s="1"/>
  <c r="AL14" i="9"/>
  <c r="AL55" i="9" s="1"/>
  <c r="AG14" i="9"/>
  <c r="AG55" i="9" s="1"/>
  <c r="AB14" i="9"/>
  <c r="AB13" i="9" s="1"/>
  <c r="W14" i="9"/>
  <c r="W55" i="9" s="1"/>
  <c r="R14" i="9"/>
  <c r="R55" i="9" s="1"/>
  <c r="AG13" i="9"/>
  <c r="AG54" i="9" s="1"/>
  <c r="M13" i="9"/>
  <c r="M54" i="9" s="1"/>
  <c r="H13" i="9"/>
  <c r="H9" i="9"/>
  <c r="H8" i="9"/>
  <c r="BT185" i="8"/>
  <c r="BT184" i="8"/>
  <c r="BO183" i="8"/>
  <c r="BJ183" i="8"/>
  <c r="BE183" i="8"/>
  <c r="AZ183" i="8"/>
  <c r="AU183" i="8"/>
  <c r="AP183" i="8"/>
  <c r="AK183" i="8"/>
  <c r="AF183" i="8"/>
  <c r="AA183" i="8"/>
  <c r="V183" i="8"/>
  <c r="Q183" i="8"/>
  <c r="L183" i="8"/>
  <c r="G183" i="8"/>
  <c r="BT181" i="8"/>
  <c r="BT180" i="8"/>
  <c r="BO179" i="8"/>
  <c r="BJ179" i="8"/>
  <c r="BE179" i="8"/>
  <c r="AZ179" i="8"/>
  <c r="AU179" i="8"/>
  <c r="AP179" i="8"/>
  <c r="AK179" i="8"/>
  <c r="AF179" i="8"/>
  <c r="AA179" i="8"/>
  <c r="V179" i="8"/>
  <c r="Q179" i="8"/>
  <c r="L179" i="8"/>
  <c r="G179" i="8"/>
  <c r="BT177" i="8"/>
  <c r="BT176" i="8"/>
  <c r="BO175" i="8"/>
  <c r="BJ175" i="8"/>
  <c r="BE175" i="8"/>
  <c r="AZ175" i="8"/>
  <c r="AU175" i="8"/>
  <c r="AP175" i="8"/>
  <c r="AK175" i="8"/>
  <c r="AF175" i="8"/>
  <c r="AA175" i="8"/>
  <c r="V175" i="8"/>
  <c r="Q175" i="8"/>
  <c r="L175" i="8"/>
  <c r="G175" i="8"/>
  <c r="BT173" i="8"/>
  <c r="BT172" i="8"/>
  <c r="BO171" i="8"/>
  <c r="BJ171" i="8"/>
  <c r="BE171" i="8"/>
  <c r="AZ171" i="8"/>
  <c r="AU171" i="8"/>
  <c r="AP171" i="8"/>
  <c r="AK171" i="8"/>
  <c r="AF171" i="8"/>
  <c r="AA171" i="8"/>
  <c r="V171" i="8"/>
  <c r="Q171" i="8"/>
  <c r="L171" i="8"/>
  <c r="BO169" i="8"/>
  <c r="BJ169" i="8"/>
  <c r="BE169" i="8"/>
  <c r="AZ169" i="8"/>
  <c r="AU169" i="8"/>
  <c r="AP169" i="8"/>
  <c r="AK169" i="8"/>
  <c r="AF169" i="8"/>
  <c r="AA169" i="8"/>
  <c r="V169" i="8"/>
  <c r="Q169" i="8"/>
  <c r="L169" i="8"/>
  <c r="BO168" i="8"/>
  <c r="BJ168" i="8"/>
  <c r="BE168" i="8"/>
  <c r="AZ168" i="8"/>
  <c r="AU168" i="8"/>
  <c r="AP168" i="8"/>
  <c r="AK168" i="8"/>
  <c r="AF168" i="8"/>
  <c r="AF167" i="8" s="1"/>
  <c r="AF105" i="8" s="1"/>
  <c r="AA168" i="8"/>
  <c r="AA167" i="8" s="1"/>
  <c r="V168" i="8"/>
  <c r="Q168" i="8"/>
  <c r="L168" i="8"/>
  <c r="BJ167" i="8"/>
  <c r="AK167" i="8"/>
  <c r="BT165" i="8"/>
  <c r="BT164" i="8"/>
  <c r="BO163" i="8"/>
  <c r="BJ163" i="8"/>
  <c r="BE163" i="8"/>
  <c r="AZ163" i="8"/>
  <c r="AU163" i="8"/>
  <c r="AP163" i="8"/>
  <c r="AK163" i="8"/>
  <c r="AF163" i="8"/>
  <c r="AA163" i="8"/>
  <c r="V163" i="8"/>
  <c r="Q163" i="8"/>
  <c r="L163" i="8"/>
  <c r="BT161" i="8"/>
  <c r="BT160" i="8"/>
  <c r="BO159" i="8"/>
  <c r="BJ159" i="8"/>
  <c r="BE159" i="8"/>
  <c r="AZ159" i="8"/>
  <c r="AU159" i="8"/>
  <c r="AP159" i="8"/>
  <c r="AK159" i="8"/>
  <c r="AF159" i="8"/>
  <c r="AA159" i="8"/>
  <c r="V159" i="8"/>
  <c r="Q159" i="8"/>
  <c r="L159" i="8"/>
  <c r="BO157" i="8"/>
  <c r="BJ157" i="8"/>
  <c r="BE157" i="8"/>
  <c r="AZ157" i="8"/>
  <c r="AU157" i="8"/>
  <c r="AK157" i="8"/>
  <c r="AF157" i="8"/>
  <c r="AA157" i="8"/>
  <c r="V157" i="8"/>
  <c r="V155" i="8" s="1"/>
  <c r="Q157" i="8"/>
  <c r="L157" i="8"/>
  <c r="BO156" i="8"/>
  <c r="BJ156" i="8"/>
  <c r="BE156" i="8"/>
  <c r="AZ156" i="8"/>
  <c r="AU156" i="8"/>
  <c r="AK156" i="8"/>
  <c r="AF156" i="8"/>
  <c r="AA156" i="8"/>
  <c r="V156" i="8"/>
  <c r="Q156" i="8"/>
  <c r="Q155" i="8" s="1"/>
  <c r="Q104" i="8" s="1"/>
  <c r="L156" i="8"/>
  <c r="AZ155" i="8"/>
  <c r="AZ104" i="8" s="1"/>
  <c r="AP155" i="8"/>
  <c r="G155" i="8"/>
  <c r="G104" i="8" s="1"/>
  <c r="BT153" i="8"/>
  <c r="BT152" i="8"/>
  <c r="BO151" i="8"/>
  <c r="BJ151" i="8"/>
  <c r="BE151" i="8"/>
  <c r="AZ151" i="8"/>
  <c r="AU151" i="8"/>
  <c r="AP151" i="8"/>
  <c r="AK151" i="8"/>
  <c r="AF151" i="8"/>
  <c r="AA151" i="8"/>
  <c r="V151" i="8"/>
  <c r="Q151" i="8"/>
  <c r="L151" i="8"/>
  <c r="G151" i="8"/>
  <c r="BT149" i="8"/>
  <c r="BT148" i="8"/>
  <c r="BT147" i="8"/>
  <c r="BO147" i="8"/>
  <c r="BJ147" i="8"/>
  <c r="BE147" i="8"/>
  <c r="AZ147" i="8"/>
  <c r="AU147" i="8"/>
  <c r="AP147" i="8"/>
  <c r="AK147" i="8"/>
  <c r="AF147" i="8"/>
  <c r="AA147" i="8"/>
  <c r="V147" i="8"/>
  <c r="Q147" i="8"/>
  <c r="L147" i="8"/>
  <c r="G147" i="8"/>
  <c r="BT145" i="8"/>
  <c r="BT143" i="8" s="1"/>
  <c r="BT144" i="8"/>
  <c r="BO143" i="8"/>
  <c r="BJ143" i="8"/>
  <c r="BE143" i="8"/>
  <c r="AZ143" i="8"/>
  <c r="AU143" i="8"/>
  <c r="AP143" i="8"/>
  <c r="AK143" i="8"/>
  <c r="AF143" i="8"/>
  <c r="AA143" i="8"/>
  <c r="V143" i="8"/>
  <c r="Q143" i="8"/>
  <c r="L143" i="8"/>
  <c r="G143" i="8"/>
  <c r="BT141" i="8"/>
  <c r="BT139" i="8" s="1"/>
  <c r="BT140" i="8"/>
  <c r="BO139" i="8"/>
  <c r="BJ139" i="8"/>
  <c r="BE139" i="8"/>
  <c r="AZ139" i="8"/>
  <c r="AU139" i="8"/>
  <c r="AP139" i="8"/>
  <c r="AK139" i="8"/>
  <c r="AF139" i="8"/>
  <c r="AA139" i="8"/>
  <c r="V139" i="8"/>
  <c r="Q139" i="8"/>
  <c r="L139" i="8"/>
  <c r="G139" i="8"/>
  <c r="BT137" i="8"/>
  <c r="BT136" i="8"/>
  <c r="BO135" i="8"/>
  <c r="BJ135" i="8"/>
  <c r="BE135" i="8"/>
  <c r="AZ135" i="8"/>
  <c r="AU135" i="8"/>
  <c r="AP135" i="8"/>
  <c r="AK135" i="8"/>
  <c r="AF135" i="8"/>
  <c r="AA135" i="8"/>
  <c r="V135" i="8"/>
  <c r="Q135" i="8"/>
  <c r="L135" i="8"/>
  <c r="G135" i="8"/>
  <c r="BT133" i="8"/>
  <c r="BT132" i="8"/>
  <c r="BO131" i="8"/>
  <c r="BJ131" i="8"/>
  <c r="BE131" i="8"/>
  <c r="AZ131" i="8"/>
  <c r="AU131" i="8"/>
  <c r="AP131" i="8"/>
  <c r="AK131" i="8"/>
  <c r="AF131" i="8"/>
  <c r="AA131" i="8"/>
  <c r="V131" i="8"/>
  <c r="Q131" i="8"/>
  <c r="L131" i="8"/>
  <c r="G131" i="8"/>
  <c r="BT129" i="8"/>
  <c r="BT128" i="8"/>
  <c r="BO127" i="8"/>
  <c r="BJ127" i="8"/>
  <c r="BE127" i="8"/>
  <c r="AZ127" i="8"/>
  <c r="AU127" i="8"/>
  <c r="AP127" i="8"/>
  <c r="AK127" i="8"/>
  <c r="AF127" i="8"/>
  <c r="AA127" i="8"/>
  <c r="V127" i="8"/>
  <c r="Q127" i="8"/>
  <c r="L127" i="8"/>
  <c r="BT125" i="8"/>
  <c r="BT124" i="8"/>
  <c r="BO123" i="8"/>
  <c r="BJ123" i="8"/>
  <c r="BE123" i="8"/>
  <c r="AZ123" i="8"/>
  <c r="AU123" i="8"/>
  <c r="AP123" i="8"/>
  <c r="AK123" i="8"/>
  <c r="AF123" i="8"/>
  <c r="AA123" i="8"/>
  <c r="V123" i="8"/>
  <c r="Q123" i="8"/>
  <c r="L123" i="8"/>
  <c r="BT121" i="8"/>
  <c r="BT120" i="8"/>
  <c r="BT119" i="8" s="1"/>
  <c r="BO119" i="8"/>
  <c r="BJ119" i="8"/>
  <c r="BE119" i="8"/>
  <c r="AZ119" i="8"/>
  <c r="AU119" i="8"/>
  <c r="AP119" i="8"/>
  <c r="AK119" i="8"/>
  <c r="AF119" i="8"/>
  <c r="AA119" i="8"/>
  <c r="V119" i="8"/>
  <c r="Q119" i="8"/>
  <c r="L119" i="8"/>
  <c r="G119" i="8"/>
  <c r="BT117" i="8"/>
  <c r="BT116" i="8"/>
  <c r="BO115" i="8"/>
  <c r="BJ115" i="8"/>
  <c r="BE115" i="8"/>
  <c r="AZ115" i="8"/>
  <c r="AU115" i="8"/>
  <c r="AP115" i="8"/>
  <c r="AK115" i="8"/>
  <c r="AF115" i="8"/>
  <c r="AA115" i="8"/>
  <c r="V115" i="8"/>
  <c r="Q115" i="8"/>
  <c r="L115" i="8"/>
  <c r="G115" i="8"/>
  <c r="BT113" i="8"/>
  <c r="BT112" i="8"/>
  <c r="BO111" i="8"/>
  <c r="BJ111" i="8"/>
  <c r="BE111" i="8"/>
  <c r="AZ111" i="8"/>
  <c r="AU111" i="8"/>
  <c r="AP111" i="8"/>
  <c r="AK111" i="8"/>
  <c r="AF111" i="8"/>
  <c r="AA111" i="8"/>
  <c r="V111" i="8"/>
  <c r="Q111" i="8"/>
  <c r="L111" i="8"/>
  <c r="G111" i="8"/>
  <c r="BJ109" i="8"/>
  <c r="BE109" i="8"/>
  <c r="AZ109" i="8"/>
  <c r="AU109" i="8"/>
  <c r="AP109" i="8"/>
  <c r="AK109" i="8"/>
  <c r="AF109" i="8"/>
  <c r="AA109" i="8"/>
  <c r="V109" i="8"/>
  <c r="Q109" i="8"/>
  <c r="L109" i="8"/>
  <c r="G109" i="8"/>
  <c r="BJ108" i="8"/>
  <c r="BE108" i="8"/>
  <c r="AZ108" i="8"/>
  <c r="AZ107" i="8" s="1"/>
  <c r="AU108" i="8"/>
  <c r="AP108" i="8"/>
  <c r="AK108" i="8"/>
  <c r="AF108" i="8"/>
  <c r="AA108" i="8"/>
  <c r="V108" i="8"/>
  <c r="Q108" i="8"/>
  <c r="L108" i="8"/>
  <c r="G108" i="8"/>
  <c r="BO107" i="8"/>
  <c r="BJ105" i="8"/>
  <c r="G105" i="8"/>
  <c r="AP104" i="8"/>
  <c r="BO103" i="8"/>
  <c r="BT100" i="8"/>
  <c r="BT99" i="8"/>
  <c r="BT98" i="8"/>
  <c r="BO97" i="8"/>
  <c r="BJ97" i="8"/>
  <c r="BE97" i="8"/>
  <c r="AZ97" i="8"/>
  <c r="AU97" i="8"/>
  <c r="AP97" i="8"/>
  <c r="AK97" i="8"/>
  <c r="AF97" i="8"/>
  <c r="AA97" i="8"/>
  <c r="V97" i="8"/>
  <c r="Q97" i="8"/>
  <c r="L97" i="8"/>
  <c r="BT95" i="8"/>
  <c r="BT94" i="8"/>
  <c r="BT93" i="8"/>
  <c r="BT92" i="8" s="1"/>
  <c r="BO92" i="8"/>
  <c r="BJ92" i="8"/>
  <c r="BE92" i="8"/>
  <c r="AZ92" i="8"/>
  <c r="AU92" i="8"/>
  <c r="AP92" i="8"/>
  <c r="AK92" i="8"/>
  <c r="AF92" i="8"/>
  <c r="AA92" i="8"/>
  <c r="V92" i="8"/>
  <c r="Q92" i="8"/>
  <c r="L92" i="8"/>
  <c r="BT90" i="8"/>
  <c r="BT89" i="8"/>
  <c r="BT88" i="8"/>
  <c r="BO87" i="8"/>
  <c r="BJ87" i="8"/>
  <c r="BE87" i="8"/>
  <c r="AZ87" i="8"/>
  <c r="AU87" i="8"/>
  <c r="AP87" i="8"/>
  <c r="AK87" i="8"/>
  <c r="AF87" i="8"/>
  <c r="AA87" i="8"/>
  <c r="V87" i="8"/>
  <c r="Q87" i="8"/>
  <c r="L87" i="8"/>
  <c r="BT85" i="8"/>
  <c r="BT84" i="8"/>
  <c r="BT83" i="8"/>
  <c r="BO82" i="8"/>
  <c r="BJ82" i="8"/>
  <c r="BE82" i="8"/>
  <c r="AZ82" i="8"/>
  <c r="AU82" i="8"/>
  <c r="AP82" i="8"/>
  <c r="AK82" i="8"/>
  <c r="AF82" i="8"/>
  <c r="AA82" i="8"/>
  <c r="V82" i="8"/>
  <c r="Q82" i="8"/>
  <c r="L82" i="8"/>
  <c r="BT80" i="8"/>
  <c r="BT79" i="8"/>
  <c r="BT78" i="8"/>
  <c r="BT73" i="8" s="1"/>
  <c r="BO77" i="8"/>
  <c r="BJ77" i="8"/>
  <c r="BE77" i="8"/>
  <c r="AZ77" i="8"/>
  <c r="AU77" i="8"/>
  <c r="AP77" i="8"/>
  <c r="AK77" i="8"/>
  <c r="AF77" i="8"/>
  <c r="AA77" i="8"/>
  <c r="V77" i="8"/>
  <c r="Q77" i="8"/>
  <c r="L77" i="8"/>
  <c r="BO75" i="8"/>
  <c r="BJ75" i="8"/>
  <c r="BE75" i="8"/>
  <c r="AZ75" i="8"/>
  <c r="AU75" i="8"/>
  <c r="AP75" i="8"/>
  <c r="AK75" i="8"/>
  <c r="AF75" i="8"/>
  <c r="AA75" i="8"/>
  <c r="V75" i="8"/>
  <c r="Q75" i="8"/>
  <c r="L75" i="8"/>
  <c r="BO74" i="8"/>
  <c r="BJ74" i="8"/>
  <c r="BE74" i="8"/>
  <c r="AZ74" i="8"/>
  <c r="AU74" i="8"/>
  <c r="AP74" i="8"/>
  <c r="AK74" i="8"/>
  <c r="AF74" i="8"/>
  <c r="AA74" i="8"/>
  <c r="V74" i="8"/>
  <c r="Q74" i="8"/>
  <c r="L74" i="8"/>
  <c r="BO73" i="8"/>
  <c r="BJ73" i="8"/>
  <c r="BJ72" i="8" s="1"/>
  <c r="BJ15" i="8" s="1"/>
  <c r="BE73" i="8"/>
  <c r="AZ73" i="8"/>
  <c r="AU73" i="8"/>
  <c r="AU72" i="8" s="1"/>
  <c r="AP73" i="8"/>
  <c r="AK73" i="8"/>
  <c r="AF73" i="8"/>
  <c r="AA73" i="8"/>
  <c r="V73" i="8"/>
  <c r="Q73" i="8"/>
  <c r="L73" i="8"/>
  <c r="BO72" i="8"/>
  <c r="BT70" i="8"/>
  <c r="BT69" i="8"/>
  <c r="BT68" i="8"/>
  <c r="BO67" i="8"/>
  <c r="BJ67" i="8"/>
  <c r="BE67" i="8"/>
  <c r="AZ67" i="8"/>
  <c r="AU67" i="8"/>
  <c r="AP67" i="8"/>
  <c r="AK67" i="8"/>
  <c r="AF67" i="8"/>
  <c r="AA67" i="8"/>
  <c r="V67" i="8"/>
  <c r="Q67" i="8"/>
  <c r="L67" i="8"/>
  <c r="BO65" i="8"/>
  <c r="BJ65" i="8"/>
  <c r="BE65" i="8"/>
  <c r="AZ65" i="8"/>
  <c r="AU65" i="8"/>
  <c r="AP65" i="8"/>
  <c r="AK65" i="8"/>
  <c r="AF65" i="8"/>
  <c r="AA65" i="8"/>
  <c r="V65" i="8"/>
  <c r="Q65" i="8"/>
  <c r="L65" i="8"/>
  <c r="BO64" i="8"/>
  <c r="BJ64" i="8"/>
  <c r="BE64" i="8"/>
  <c r="AZ64" i="8"/>
  <c r="AU64" i="8"/>
  <c r="AP64" i="8"/>
  <c r="AK64" i="8"/>
  <c r="AF64" i="8"/>
  <c r="AA64" i="8"/>
  <c r="V64" i="8"/>
  <c r="Q64" i="8"/>
  <c r="L64" i="8"/>
  <c r="BO63" i="8"/>
  <c r="BJ63" i="8"/>
  <c r="BE63" i="8"/>
  <c r="AZ63" i="8"/>
  <c r="AU63" i="8"/>
  <c r="AP63" i="8"/>
  <c r="AP62" i="8" s="1"/>
  <c r="AK63" i="8"/>
  <c r="AF63" i="8"/>
  <c r="AA63" i="8"/>
  <c r="V63" i="8"/>
  <c r="Q63" i="8"/>
  <c r="L63" i="8"/>
  <c r="G62" i="8"/>
  <c r="G14" i="8" s="1"/>
  <c r="G12" i="8" s="1"/>
  <c r="BT60" i="8"/>
  <c r="BT59" i="8"/>
  <c r="BT58" i="8"/>
  <c r="BO57" i="8"/>
  <c r="BJ57" i="8"/>
  <c r="BE57" i="8"/>
  <c r="AZ57" i="8"/>
  <c r="AU57" i="8"/>
  <c r="AP57" i="8"/>
  <c r="AK57" i="8"/>
  <c r="AF57" i="8"/>
  <c r="AA57" i="8"/>
  <c r="V57" i="8"/>
  <c r="Q57" i="8"/>
  <c r="L57" i="8"/>
  <c r="BT55" i="8"/>
  <c r="BT54" i="8"/>
  <c r="BT53" i="8"/>
  <c r="BO52" i="8"/>
  <c r="BJ52" i="8"/>
  <c r="BE52" i="8"/>
  <c r="AZ52" i="8"/>
  <c r="AU52" i="8"/>
  <c r="AP52" i="8"/>
  <c r="AK52" i="8"/>
  <c r="AF52" i="8"/>
  <c r="AA52" i="8"/>
  <c r="V52" i="8"/>
  <c r="Q52" i="8"/>
  <c r="L52" i="8"/>
  <c r="BT50" i="8"/>
  <c r="BT49" i="8"/>
  <c r="BT48" i="8"/>
  <c r="BO47" i="8"/>
  <c r="BJ47" i="8"/>
  <c r="BE47" i="8"/>
  <c r="AZ47" i="8"/>
  <c r="AU47" i="8"/>
  <c r="AP47" i="8"/>
  <c r="AK47" i="8"/>
  <c r="AF47" i="8"/>
  <c r="AA47" i="8"/>
  <c r="V47" i="8"/>
  <c r="Q47" i="8"/>
  <c r="L47" i="8"/>
  <c r="BT45" i="8"/>
  <c r="BT44" i="8"/>
  <c r="BT43" i="8"/>
  <c r="BT18" i="8" s="1"/>
  <c r="BO42" i="8"/>
  <c r="BJ42" i="8"/>
  <c r="BE42" i="8"/>
  <c r="AZ42" i="8"/>
  <c r="AU42" i="8"/>
  <c r="AP42" i="8"/>
  <c r="AK42" i="8"/>
  <c r="AF42" i="8"/>
  <c r="AA42" i="8"/>
  <c r="V42" i="8"/>
  <c r="Q42" i="8"/>
  <c r="L42" i="8"/>
  <c r="BT40" i="8"/>
  <c r="BT39" i="8"/>
  <c r="BT38" i="8"/>
  <c r="BO37" i="8"/>
  <c r="BJ37" i="8"/>
  <c r="BE37" i="8"/>
  <c r="AZ37" i="8"/>
  <c r="AU37" i="8"/>
  <c r="AP37" i="8"/>
  <c r="AK37" i="8"/>
  <c r="AF37" i="8"/>
  <c r="AA37" i="8"/>
  <c r="V37" i="8"/>
  <c r="Q37" i="8"/>
  <c r="L37" i="8"/>
  <c r="BT35" i="8"/>
  <c r="BT34" i="8"/>
  <c r="BT33" i="8"/>
  <c r="BO32" i="8"/>
  <c r="BJ32" i="8"/>
  <c r="BE32" i="8"/>
  <c r="AZ32" i="8"/>
  <c r="AU32" i="8"/>
  <c r="AP32" i="8"/>
  <c r="AK32" i="8"/>
  <c r="AF32" i="8"/>
  <c r="AA32" i="8"/>
  <c r="V32" i="8"/>
  <c r="Q32" i="8"/>
  <c r="L32" i="8"/>
  <c r="BT30" i="8"/>
  <c r="BT29" i="8"/>
  <c r="BT28" i="8"/>
  <c r="BT27" i="8" s="1"/>
  <c r="BO27" i="8"/>
  <c r="BJ27" i="8"/>
  <c r="BE27" i="8"/>
  <c r="AZ27" i="8"/>
  <c r="AU27" i="8"/>
  <c r="AP27" i="8"/>
  <c r="AK27" i="8"/>
  <c r="AF27" i="8"/>
  <c r="AA27" i="8"/>
  <c r="V27" i="8"/>
  <c r="Q27" i="8"/>
  <c r="L27" i="8"/>
  <c r="G27" i="8"/>
  <c r="BT25" i="8"/>
  <c r="BT24" i="8"/>
  <c r="BT23" i="8"/>
  <c r="BO22" i="8"/>
  <c r="BJ22" i="8"/>
  <c r="BE22" i="8"/>
  <c r="AZ22" i="8"/>
  <c r="AU22" i="8"/>
  <c r="AP22" i="8"/>
  <c r="AK22" i="8"/>
  <c r="AF22" i="8"/>
  <c r="AA22" i="8"/>
  <c r="V22" i="8"/>
  <c r="Q22" i="8"/>
  <c r="L22" i="8"/>
  <c r="G22" i="8"/>
  <c r="BO20" i="8"/>
  <c r="BJ20" i="8"/>
  <c r="BE20" i="8"/>
  <c r="AZ20" i="8"/>
  <c r="AU20" i="8"/>
  <c r="AP20" i="8"/>
  <c r="AK20" i="8"/>
  <c r="AF20" i="8"/>
  <c r="AA20" i="8"/>
  <c r="V20" i="8"/>
  <c r="Q20" i="8"/>
  <c r="L20" i="8"/>
  <c r="BO19" i="8"/>
  <c r="BJ19" i="8"/>
  <c r="BE19" i="8"/>
  <c r="AZ19" i="8"/>
  <c r="AU19" i="8"/>
  <c r="AP19" i="8"/>
  <c r="AK19" i="8"/>
  <c r="AF19" i="8"/>
  <c r="AA19" i="8"/>
  <c r="V19" i="8"/>
  <c r="Q19" i="8"/>
  <c r="L19" i="8"/>
  <c r="AU18" i="8"/>
  <c r="AU17" i="8" s="1"/>
  <c r="AP18" i="8"/>
  <c r="AK18" i="8"/>
  <c r="Q18" i="8"/>
  <c r="L18" i="8"/>
  <c r="G17" i="8"/>
  <c r="G13" i="8" s="1"/>
  <c r="G9" i="8"/>
  <c r="G8" i="8"/>
  <c r="M1" i="8"/>
  <c r="BT155" i="7"/>
  <c r="BT154" i="7"/>
  <c r="BT153" i="7"/>
  <c r="BO152" i="7"/>
  <c r="BJ152" i="7"/>
  <c r="BE152" i="7"/>
  <c r="AZ152" i="7"/>
  <c r="AU152" i="7"/>
  <c r="AP152" i="7"/>
  <c r="AK152" i="7"/>
  <c r="AF152" i="7"/>
  <c r="AA152" i="7"/>
  <c r="V152" i="7"/>
  <c r="Q152" i="7"/>
  <c r="L152" i="7"/>
  <c r="G152" i="7"/>
  <c r="BT150" i="7"/>
  <c r="BT149" i="7"/>
  <c r="BT148" i="7"/>
  <c r="BT147" i="7" s="1"/>
  <c r="BO147" i="7"/>
  <c r="BJ147" i="7"/>
  <c r="BE147" i="7"/>
  <c r="AZ147" i="7"/>
  <c r="AU147" i="7"/>
  <c r="AP147" i="7"/>
  <c r="AK147" i="7"/>
  <c r="AF147" i="7"/>
  <c r="AA147" i="7"/>
  <c r="V147" i="7"/>
  <c r="Q147" i="7"/>
  <c r="L147" i="7"/>
  <c r="G147" i="7"/>
  <c r="BT145" i="7"/>
  <c r="BT144" i="7"/>
  <c r="BT143" i="7"/>
  <c r="BO142" i="7"/>
  <c r="BJ142" i="7"/>
  <c r="BE142" i="7"/>
  <c r="AZ142" i="7"/>
  <c r="AU142" i="7"/>
  <c r="AP142" i="7"/>
  <c r="AK142" i="7"/>
  <c r="AF142" i="7"/>
  <c r="AA142" i="7"/>
  <c r="V142" i="7"/>
  <c r="Q142" i="7"/>
  <c r="L142" i="7"/>
  <c r="G142" i="7"/>
  <c r="BT140" i="7"/>
  <c r="BT139" i="7"/>
  <c r="BT137" i="7" s="1"/>
  <c r="BT138" i="7"/>
  <c r="BO137" i="7"/>
  <c r="BJ137" i="7"/>
  <c r="BE137" i="7"/>
  <c r="AZ137" i="7"/>
  <c r="AU137" i="7"/>
  <c r="AP137" i="7"/>
  <c r="AK137" i="7"/>
  <c r="AF137" i="7"/>
  <c r="AA137" i="7"/>
  <c r="V137" i="7"/>
  <c r="Q137" i="7"/>
  <c r="L137" i="7"/>
  <c r="G137" i="7"/>
  <c r="BT135" i="7"/>
  <c r="BT134" i="7"/>
  <c r="BT133" i="7"/>
  <c r="BT132" i="7" s="1"/>
  <c r="BO132" i="7"/>
  <c r="BJ132" i="7"/>
  <c r="BE132" i="7"/>
  <c r="AZ132" i="7"/>
  <c r="AU132" i="7"/>
  <c r="AP132" i="7"/>
  <c r="AK132" i="7"/>
  <c r="AF132" i="7"/>
  <c r="AA132" i="7"/>
  <c r="V132" i="7"/>
  <c r="Q132" i="7"/>
  <c r="L132" i="7"/>
  <c r="G132" i="7"/>
  <c r="BT130" i="7"/>
  <c r="BT129" i="7"/>
  <c r="BT128" i="7"/>
  <c r="BT127" i="7" s="1"/>
  <c r="BO127" i="7"/>
  <c r="BJ127" i="7"/>
  <c r="BE127" i="7"/>
  <c r="AZ127" i="7"/>
  <c r="AU127" i="7"/>
  <c r="AP127" i="7"/>
  <c r="AK127" i="7"/>
  <c r="AF127" i="7"/>
  <c r="AA127" i="7"/>
  <c r="V127" i="7"/>
  <c r="Q127" i="7"/>
  <c r="L127" i="7"/>
  <c r="G127" i="7"/>
  <c r="BO125" i="7"/>
  <c r="BJ125" i="7"/>
  <c r="BE125" i="7"/>
  <c r="AZ125" i="7"/>
  <c r="AU125" i="7"/>
  <c r="AP125" i="7"/>
  <c r="AK125" i="7"/>
  <c r="AF125" i="7"/>
  <c r="AA125" i="7"/>
  <c r="V125" i="7"/>
  <c r="Q125" i="7"/>
  <c r="L125" i="7"/>
  <c r="G125" i="7"/>
  <c r="BO124" i="7"/>
  <c r="BJ124" i="7"/>
  <c r="BE124" i="7"/>
  <c r="AZ124" i="7"/>
  <c r="AU124" i="7"/>
  <c r="AP124" i="7"/>
  <c r="AK124" i="7"/>
  <c r="AF124" i="7"/>
  <c r="AA124" i="7"/>
  <c r="V124" i="7"/>
  <c r="Q124" i="7"/>
  <c r="L124" i="7"/>
  <c r="G124" i="7"/>
  <c r="BO123" i="7"/>
  <c r="BJ123" i="7"/>
  <c r="BE123" i="7"/>
  <c r="AZ123" i="7"/>
  <c r="AZ122" i="7" s="1"/>
  <c r="AZ16" i="7" s="1"/>
  <c r="AU123" i="7"/>
  <c r="AP123" i="7"/>
  <c r="AK123" i="7"/>
  <c r="AK122" i="7" s="1"/>
  <c r="AF123" i="7"/>
  <c r="AA123" i="7"/>
  <c r="V123" i="7"/>
  <c r="Q123" i="7"/>
  <c r="L123" i="7"/>
  <c r="G123" i="7"/>
  <c r="BT120" i="7"/>
  <c r="BO119" i="7"/>
  <c r="BJ119" i="7"/>
  <c r="BE119" i="7"/>
  <c r="AZ119" i="7"/>
  <c r="AU119" i="7"/>
  <c r="AP119" i="7"/>
  <c r="AK119" i="7"/>
  <c r="AF119" i="7"/>
  <c r="AA119" i="7"/>
  <c r="V119" i="7"/>
  <c r="Q119" i="7"/>
  <c r="L119" i="7"/>
  <c r="G119" i="7"/>
  <c r="BT117" i="7"/>
  <c r="BO116" i="7"/>
  <c r="BJ116" i="7"/>
  <c r="BE116" i="7"/>
  <c r="AZ116" i="7"/>
  <c r="AU116" i="7"/>
  <c r="AP116" i="7"/>
  <c r="AK116" i="7"/>
  <c r="AF116" i="7"/>
  <c r="AA116" i="7"/>
  <c r="V116" i="7"/>
  <c r="Q116" i="7"/>
  <c r="L116" i="7"/>
  <c r="G116" i="7"/>
  <c r="BT114" i="7"/>
  <c r="BT113" i="7" s="1"/>
  <c r="BO113" i="7"/>
  <c r="BJ113" i="7"/>
  <c r="BE113" i="7"/>
  <c r="AZ113" i="7"/>
  <c r="AU113" i="7"/>
  <c r="AP113" i="7"/>
  <c r="AK113" i="7"/>
  <c r="AF113" i="7"/>
  <c r="AA113" i="7"/>
  <c r="V113" i="7"/>
  <c r="Q113" i="7"/>
  <c r="L113" i="7"/>
  <c r="G113" i="7"/>
  <c r="BT111" i="7"/>
  <c r="BT110" i="7" s="1"/>
  <c r="BO110" i="7"/>
  <c r="BJ110" i="7"/>
  <c r="BE110" i="7"/>
  <c r="AZ110" i="7"/>
  <c r="AU110" i="7"/>
  <c r="AP110" i="7"/>
  <c r="AK110" i="7"/>
  <c r="AF110" i="7"/>
  <c r="AA110" i="7"/>
  <c r="V110" i="7"/>
  <c r="Q110" i="7"/>
  <c r="L110" i="7"/>
  <c r="G110" i="7"/>
  <c r="BT108" i="7"/>
  <c r="BT107" i="7"/>
  <c r="BO107" i="7"/>
  <c r="BJ107" i="7"/>
  <c r="BE107" i="7"/>
  <c r="AZ107" i="7"/>
  <c r="AU107" i="7"/>
  <c r="AP107" i="7"/>
  <c r="AK107" i="7"/>
  <c r="AF107" i="7"/>
  <c r="AA107" i="7"/>
  <c r="V107" i="7"/>
  <c r="Q107" i="7"/>
  <c r="L107" i="7"/>
  <c r="G107" i="7"/>
  <c r="D107" i="7"/>
  <c r="BT105" i="7"/>
  <c r="BO104" i="7"/>
  <c r="BJ104" i="7"/>
  <c r="BE104" i="7"/>
  <c r="AZ104" i="7"/>
  <c r="AU104" i="7"/>
  <c r="AP104" i="7"/>
  <c r="AK104" i="7"/>
  <c r="AF104" i="7"/>
  <c r="AA104" i="7"/>
  <c r="V104" i="7"/>
  <c r="Q104" i="7"/>
  <c r="L104" i="7"/>
  <c r="G104" i="7"/>
  <c r="BT102" i="7"/>
  <c r="BT101" i="7" s="1"/>
  <c r="BO101" i="7"/>
  <c r="BJ101" i="7"/>
  <c r="BE101" i="7"/>
  <c r="AZ101" i="7"/>
  <c r="AU101" i="7"/>
  <c r="AP101" i="7"/>
  <c r="AK101" i="7"/>
  <c r="AF101" i="7"/>
  <c r="AA101" i="7"/>
  <c r="V101" i="7"/>
  <c r="Q101" i="7"/>
  <c r="L101" i="7"/>
  <c r="G101" i="7"/>
  <c r="BT99" i="7"/>
  <c r="BO98" i="7"/>
  <c r="BJ98" i="7"/>
  <c r="BE98" i="7"/>
  <c r="AZ98" i="7"/>
  <c r="AU98" i="7"/>
  <c r="AP98" i="7"/>
  <c r="AK98" i="7"/>
  <c r="AF98" i="7"/>
  <c r="AA98" i="7"/>
  <c r="V98" i="7"/>
  <c r="Q98" i="7"/>
  <c r="L98" i="7"/>
  <c r="G98" i="7"/>
  <c r="BT96" i="7"/>
  <c r="BT95" i="7" s="1"/>
  <c r="BO95" i="7"/>
  <c r="BJ95" i="7"/>
  <c r="BE95" i="7"/>
  <c r="AZ95" i="7"/>
  <c r="AU95" i="7"/>
  <c r="AP95" i="7"/>
  <c r="AK95" i="7"/>
  <c r="AF95" i="7"/>
  <c r="AA95" i="7"/>
  <c r="V95" i="7"/>
  <c r="Q95" i="7"/>
  <c r="L95" i="7"/>
  <c r="G95" i="7"/>
  <c r="BT93" i="7"/>
  <c r="BO92" i="7"/>
  <c r="BJ92" i="7"/>
  <c r="BE92" i="7"/>
  <c r="AZ92" i="7"/>
  <c r="AU92" i="7"/>
  <c r="AP92" i="7"/>
  <c r="AK92" i="7"/>
  <c r="AF92" i="7"/>
  <c r="AA92" i="7"/>
  <c r="V92" i="7"/>
  <c r="Q92" i="7"/>
  <c r="L92" i="7"/>
  <c r="G92" i="7"/>
  <c r="D92" i="7"/>
  <c r="BT90" i="7"/>
  <c r="BO89" i="7"/>
  <c r="BJ89" i="7"/>
  <c r="BE89" i="7"/>
  <c r="AZ89" i="7"/>
  <c r="AU89" i="7"/>
  <c r="AP89" i="7"/>
  <c r="AK89" i="7"/>
  <c r="AF89" i="7"/>
  <c r="AA89" i="7"/>
  <c r="V89" i="7"/>
  <c r="Q89" i="7"/>
  <c r="L89" i="7"/>
  <c r="G89" i="7"/>
  <c r="D89" i="7"/>
  <c r="BT87" i="7"/>
  <c r="BT86" i="7" s="1"/>
  <c r="BO86" i="7"/>
  <c r="BJ86" i="7"/>
  <c r="BE86" i="7"/>
  <c r="AZ86" i="7"/>
  <c r="AU86" i="7"/>
  <c r="AP86" i="7"/>
  <c r="AK86" i="7"/>
  <c r="AF86" i="7"/>
  <c r="AA86" i="7"/>
  <c r="V86" i="7"/>
  <c r="Q86" i="7"/>
  <c r="L86" i="7"/>
  <c r="G86" i="7"/>
  <c r="BT84" i="7"/>
  <c r="BO83" i="7"/>
  <c r="BJ83" i="7"/>
  <c r="BE83" i="7"/>
  <c r="AZ83" i="7"/>
  <c r="AU83" i="7"/>
  <c r="AP83" i="7"/>
  <c r="AK83" i="7"/>
  <c r="AF83" i="7"/>
  <c r="AA83" i="7"/>
  <c r="V83" i="7"/>
  <c r="Q83" i="7"/>
  <c r="L83" i="7"/>
  <c r="G83" i="7"/>
  <c r="BT81" i="7"/>
  <c r="BT80" i="7" s="1"/>
  <c r="BO80" i="7"/>
  <c r="BJ80" i="7"/>
  <c r="BE80" i="7"/>
  <c r="AZ80" i="7"/>
  <c r="AU80" i="7"/>
  <c r="AP80" i="7"/>
  <c r="AK80" i="7"/>
  <c r="AF80" i="7"/>
  <c r="AA80" i="7"/>
  <c r="V80" i="7"/>
  <c r="Q80" i="7"/>
  <c r="M80" i="7"/>
  <c r="L80" i="7"/>
  <c r="G80" i="7"/>
  <c r="BT78" i="7"/>
  <c r="BO77" i="7"/>
  <c r="BJ77" i="7"/>
  <c r="BE77" i="7"/>
  <c r="AZ77" i="7"/>
  <c r="AU77" i="7"/>
  <c r="AP77" i="7"/>
  <c r="AK77" i="7"/>
  <c r="AF77" i="7"/>
  <c r="AA77" i="7"/>
  <c r="V77" i="7"/>
  <c r="Q77" i="7"/>
  <c r="L77" i="7"/>
  <c r="G77" i="7"/>
  <c r="BT75" i="7"/>
  <c r="BO74" i="7"/>
  <c r="BJ74" i="7"/>
  <c r="BE74" i="7"/>
  <c r="AZ74" i="7"/>
  <c r="AU74" i="7"/>
  <c r="AP74" i="7"/>
  <c r="AK74" i="7"/>
  <c r="AF74" i="7"/>
  <c r="AA74" i="7"/>
  <c r="V74" i="7"/>
  <c r="Q74" i="7"/>
  <c r="L74" i="7"/>
  <c r="G74" i="7"/>
  <c r="D74" i="7"/>
  <c r="BT72" i="7"/>
  <c r="BT71" i="7" s="1"/>
  <c r="BO71" i="7"/>
  <c r="BJ71" i="7"/>
  <c r="BE71" i="7"/>
  <c r="AZ71" i="7"/>
  <c r="AU71" i="7"/>
  <c r="AP71" i="7"/>
  <c r="AK71" i="7"/>
  <c r="AF71" i="7"/>
  <c r="AA71" i="7"/>
  <c r="V71" i="7"/>
  <c r="Q71" i="7"/>
  <c r="L71" i="7"/>
  <c r="BT69" i="7"/>
  <c r="BO68" i="7"/>
  <c r="BJ68" i="7"/>
  <c r="BE68" i="7"/>
  <c r="AZ68" i="7"/>
  <c r="AU68" i="7"/>
  <c r="AP68" i="7"/>
  <c r="AK68" i="7"/>
  <c r="AF68" i="7"/>
  <c r="AA68" i="7"/>
  <c r="V68" i="7"/>
  <c r="Q68" i="7"/>
  <c r="L68" i="7"/>
  <c r="BO66" i="7"/>
  <c r="BO65" i="7" s="1"/>
  <c r="BO15" i="7" s="1"/>
  <c r="BE66" i="7"/>
  <c r="BE65" i="7" s="1"/>
  <c r="AZ66" i="7"/>
  <c r="AU66" i="7"/>
  <c r="AP66" i="7"/>
  <c r="AK66" i="7"/>
  <c r="AF66" i="7"/>
  <c r="AF65" i="7" s="1"/>
  <c r="AF15" i="7" s="1"/>
  <c r="V66" i="7"/>
  <c r="Q66" i="7"/>
  <c r="L66" i="7"/>
  <c r="G66" i="7"/>
  <c r="G65" i="7" s="1"/>
  <c r="G15" i="7" s="1"/>
  <c r="BJ65" i="7"/>
  <c r="AZ65" i="7"/>
  <c r="AA65" i="7"/>
  <c r="V65" i="7"/>
  <c r="BT63" i="7"/>
  <c r="BT62" i="7"/>
  <c r="BT61" i="7"/>
  <c r="BO60" i="7"/>
  <c r="BJ60" i="7"/>
  <c r="BE60" i="7"/>
  <c r="AZ60" i="7"/>
  <c r="AU60" i="7"/>
  <c r="AP60" i="7"/>
  <c r="AK60" i="7"/>
  <c r="AF60" i="7"/>
  <c r="AA60" i="7"/>
  <c r="V60" i="7"/>
  <c r="Q60" i="7"/>
  <c r="L60" i="7"/>
  <c r="G60" i="7"/>
  <c r="BT58" i="7"/>
  <c r="BT57" i="7"/>
  <c r="BT55" i="7" s="1"/>
  <c r="BT56" i="7"/>
  <c r="BO55" i="7"/>
  <c r="BJ55" i="7"/>
  <c r="BE55" i="7"/>
  <c r="AZ55" i="7"/>
  <c r="AU55" i="7"/>
  <c r="AP55" i="7"/>
  <c r="AK55" i="7"/>
  <c r="AF55" i="7"/>
  <c r="AA55" i="7"/>
  <c r="V55" i="7"/>
  <c r="Q55" i="7"/>
  <c r="L55" i="7"/>
  <c r="G55" i="7"/>
  <c r="BT53" i="7"/>
  <c r="BT52" i="7"/>
  <c r="BT51" i="7"/>
  <c r="BO50" i="7"/>
  <c r="BJ50" i="7"/>
  <c r="BE50" i="7"/>
  <c r="AZ50" i="7"/>
  <c r="AU50" i="7"/>
  <c r="AP50" i="7"/>
  <c r="AK50" i="7"/>
  <c r="AF50" i="7"/>
  <c r="AA50" i="7"/>
  <c r="V50" i="7"/>
  <c r="Q50" i="7"/>
  <c r="L50" i="7"/>
  <c r="BT48" i="7"/>
  <c r="BT47" i="7"/>
  <c r="BT46" i="7"/>
  <c r="BO45" i="7"/>
  <c r="BJ45" i="7"/>
  <c r="BE45" i="7"/>
  <c r="AZ45" i="7"/>
  <c r="AU45" i="7"/>
  <c r="AP45" i="7"/>
  <c r="AK45" i="7"/>
  <c r="AF45" i="7"/>
  <c r="AA45" i="7"/>
  <c r="V45" i="7"/>
  <c r="Q45" i="7"/>
  <c r="L45" i="7"/>
  <c r="G45" i="7"/>
  <c r="BT43" i="7"/>
  <c r="BT42" i="7"/>
  <c r="BT41" i="7"/>
  <c r="BO40" i="7"/>
  <c r="BJ40" i="7"/>
  <c r="BE40" i="7"/>
  <c r="AZ40" i="7"/>
  <c r="AU40" i="7"/>
  <c r="AP40" i="7"/>
  <c r="AK40" i="7"/>
  <c r="AF40" i="7"/>
  <c r="AA40" i="7"/>
  <c r="V40" i="7"/>
  <c r="Q40" i="7"/>
  <c r="L40" i="7"/>
  <c r="BT38" i="7"/>
  <c r="BT37" i="7"/>
  <c r="BT36" i="7"/>
  <c r="BO35" i="7"/>
  <c r="BJ35" i="7"/>
  <c r="BE35" i="7"/>
  <c r="AZ35" i="7"/>
  <c r="AU35" i="7"/>
  <c r="AP35" i="7"/>
  <c r="AK35" i="7"/>
  <c r="AF35" i="7"/>
  <c r="AA35" i="7"/>
  <c r="V35" i="7"/>
  <c r="Q35" i="7"/>
  <c r="L35" i="7"/>
  <c r="Q31" i="7"/>
  <c r="Q30" i="7" s="1"/>
  <c r="G31" i="7"/>
  <c r="G30" i="7" s="1"/>
  <c r="G14" i="7" s="1"/>
  <c r="BO30" i="7"/>
  <c r="BO14" i="7" s="1"/>
  <c r="BJ30" i="7"/>
  <c r="BJ14" i="7" s="1"/>
  <c r="BE30" i="7"/>
  <c r="BE14" i="7" s="1"/>
  <c r="AZ30" i="7"/>
  <c r="AU30" i="7"/>
  <c r="AP30" i="7"/>
  <c r="AK30" i="7"/>
  <c r="AF30" i="7"/>
  <c r="AF14" i="7" s="1"/>
  <c r="AA30" i="7"/>
  <c r="AA14" i="7" s="1"/>
  <c r="V30" i="7"/>
  <c r="L30" i="7"/>
  <c r="L14" i="7" s="1"/>
  <c r="BT28" i="7"/>
  <c r="BT27" i="7"/>
  <c r="BT26" i="7"/>
  <c r="BT25" i="7"/>
  <c r="BT24" i="7"/>
  <c r="BT23" i="7"/>
  <c r="BT22" i="7"/>
  <c r="BT21" i="7"/>
  <c r="BT20" i="7"/>
  <c r="BT19" i="7"/>
  <c r="BO18" i="7"/>
  <c r="BJ18" i="7"/>
  <c r="BJ13" i="7" s="1"/>
  <c r="BE18" i="7"/>
  <c r="AZ18" i="7"/>
  <c r="AU18" i="7"/>
  <c r="AP18" i="7"/>
  <c r="AP13" i="7" s="1"/>
  <c r="AK18" i="7"/>
  <c r="AK13" i="7" s="1"/>
  <c r="AF18" i="7"/>
  <c r="AA18" i="7"/>
  <c r="AA13" i="7" s="1"/>
  <c r="V18" i="7"/>
  <c r="Q18" i="7"/>
  <c r="L18" i="7"/>
  <c r="L13" i="7" s="1"/>
  <c r="G18" i="7"/>
  <c r="G13" i="7" s="1"/>
  <c r="G16" i="7"/>
  <c r="BJ15" i="7"/>
  <c r="AZ14" i="7"/>
  <c r="AP14" i="7"/>
  <c r="AK14" i="7"/>
  <c r="V14" i="7"/>
  <c r="BO13" i="7"/>
  <c r="AF13" i="7"/>
  <c r="G9" i="7"/>
  <c r="G8" i="7"/>
  <c r="M1" i="7"/>
  <c r="BT340" i="6"/>
  <c r="BT339" i="6" s="1"/>
  <c r="BO339" i="6"/>
  <c r="BJ339" i="6"/>
  <c r="BE339" i="6"/>
  <c r="AZ339" i="6"/>
  <c r="AU339" i="6"/>
  <c r="AP339" i="6"/>
  <c r="AK339" i="6"/>
  <c r="AF339" i="6"/>
  <c r="AA339" i="6"/>
  <c r="V339" i="6"/>
  <c r="Q339" i="6"/>
  <c r="L339" i="6"/>
  <c r="BT337" i="6"/>
  <c r="BO336" i="6"/>
  <c r="BJ336" i="6"/>
  <c r="BE336" i="6"/>
  <c r="AZ336" i="6"/>
  <c r="AU336" i="6"/>
  <c r="AP336" i="6"/>
  <c r="AK336" i="6"/>
  <c r="AF336" i="6"/>
  <c r="AA336" i="6"/>
  <c r="V336" i="6"/>
  <c r="Q336" i="6"/>
  <c r="L336" i="6"/>
  <c r="G336" i="6"/>
  <c r="BT334" i="6"/>
  <c r="BO333" i="6"/>
  <c r="BJ333" i="6"/>
  <c r="BE333" i="6"/>
  <c r="AZ333" i="6"/>
  <c r="AU333" i="6"/>
  <c r="AP333" i="6"/>
  <c r="AK333" i="6"/>
  <c r="AF333" i="6"/>
  <c r="AA333" i="6"/>
  <c r="V333" i="6"/>
  <c r="Q333" i="6"/>
  <c r="L333" i="6"/>
  <c r="BT331" i="6"/>
  <c r="BT330" i="6" s="1"/>
  <c r="BO330" i="6"/>
  <c r="BJ330" i="6"/>
  <c r="BE330" i="6"/>
  <c r="AZ330" i="6"/>
  <c r="AU330" i="6"/>
  <c r="AP330" i="6"/>
  <c r="AK330" i="6"/>
  <c r="AF330" i="6"/>
  <c r="AA330" i="6"/>
  <c r="V330" i="6"/>
  <c r="Q330" i="6"/>
  <c r="L330" i="6"/>
  <c r="BT328" i="6"/>
  <c r="BO327" i="6"/>
  <c r="BJ327" i="6"/>
  <c r="BE327" i="6"/>
  <c r="AZ327" i="6"/>
  <c r="AU327" i="6"/>
  <c r="AP327" i="6"/>
  <c r="AK327" i="6"/>
  <c r="AF327" i="6"/>
  <c r="AA327" i="6"/>
  <c r="V327" i="6"/>
  <c r="Q327" i="6"/>
  <c r="L327" i="6"/>
  <c r="G327" i="6"/>
  <c r="BT325" i="6"/>
  <c r="BO324" i="6"/>
  <c r="BJ324" i="6"/>
  <c r="BE324" i="6"/>
  <c r="AZ324" i="6"/>
  <c r="AU324" i="6"/>
  <c r="AP324" i="6"/>
  <c r="AK324" i="6"/>
  <c r="AF324" i="6"/>
  <c r="AA324" i="6"/>
  <c r="V324" i="6"/>
  <c r="Q324" i="6"/>
  <c r="L324" i="6"/>
  <c r="BT322" i="6"/>
  <c r="BT321" i="6" s="1"/>
  <c r="BO321" i="6"/>
  <c r="BJ321" i="6"/>
  <c r="BE321" i="6"/>
  <c r="AZ321" i="6"/>
  <c r="AU321" i="6"/>
  <c r="AP321" i="6"/>
  <c r="AK321" i="6"/>
  <c r="AF321" i="6"/>
  <c r="AA321" i="6"/>
  <c r="V321" i="6"/>
  <c r="Q321" i="6"/>
  <c r="L321" i="6"/>
  <c r="BT319" i="6"/>
  <c r="BO318" i="6"/>
  <c r="BJ318" i="6"/>
  <c r="BE318" i="6"/>
  <c r="AZ318" i="6"/>
  <c r="AU318" i="6"/>
  <c r="AP318" i="6"/>
  <c r="AK318" i="6"/>
  <c r="AF318" i="6"/>
  <c r="AA318" i="6"/>
  <c r="V318" i="6"/>
  <c r="Q318" i="6"/>
  <c r="L318" i="6"/>
  <c r="BT316" i="6"/>
  <c r="BT315" i="6" s="1"/>
  <c r="BQ315" i="6"/>
  <c r="BP315" i="6"/>
  <c r="BO315" i="6"/>
  <c r="BN315" i="6"/>
  <c r="BM315" i="6"/>
  <c r="BL315" i="6"/>
  <c r="BK315" i="6"/>
  <c r="BJ315" i="6"/>
  <c r="BI315" i="6"/>
  <c r="BH315" i="6"/>
  <c r="BG315" i="6"/>
  <c r="BF315" i="6"/>
  <c r="BE315" i="6"/>
  <c r="BD315" i="6"/>
  <c r="BC315" i="6"/>
  <c r="BB315" i="6"/>
  <c r="BA315" i="6"/>
  <c r="AZ315" i="6"/>
  <c r="AY315" i="6"/>
  <c r="AX315" i="6"/>
  <c r="AW315" i="6"/>
  <c r="AV315" i="6"/>
  <c r="AU315" i="6"/>
  <c r="AT315" i="6"/>
  <c r="AS315" i="6"/>
  <c r="AR315" i="6"/>
  <c r="AQ315" i="6"/>
  <c r="AP315" i="6"/>
  <c r="AO315" i="6"/>
  <c r="AN315" i="6"/>
  <c r="AM315" i="6"/>
  <c r="AL315" i="6"/>
  <c r="AK315" i="6"/>
  <c r="AJ315" i="6"/>
  <c r="AI315" i="6"/>
  <c r="AH315" i="6"/>
  <c r="AG315" i="6"/>
  <c r="AF315" i="6"/>
  <c r="AE315" i="6"/>
  <c r="AD315" i="6"/>
  <c r="AC315" i="6"/>
  <c r="AB315" i="6"/>
  <c r="AA315" i="6"/>
  <c r="Z315" i="6"/>
  <c r="V315" i="6"/>
  <c r="Q315" i="6"/>
  <c r="L315" i="6"/>
  <c r="BT312" i="6"/>
  <c r="BT311" i="6" s="1"/>
  <c r="BO311" i="6"/>
  <c r="BJ311" i="6"/>
  <c r="BE311" i="6"/>
  <c r="AZ311" i="6"/>
  <c r="AU311" i="6"/>
  <c r="AP311" i="6"/>
  <c r="AK311" i="6"/>
  <c r="AF311" i="6"/>
  <c r="AA311" i="6"/>
  <c r="V311" i="6"/>
  <c r="Q311" i="6"/>
  <c r="L311" i="6"/>
  <c r="D311" i="6"/>
  <c r="BO308" i="6"/>
  <c r="BO307" i="6" s="1"/>
  <c r="BO278" i="6" s="1"/>
  <c r="BJ308" i="6"/>
  <c r="BE308" i="6"/>
  <c r="BE307" i="6" s="1"/>
  <c r="AZ308" i="6"/>
  <c r="AU308" i="6"/>
  <c r="AU307" i="6" s="1"/>
  <c r="AU10" i="6" s="1"/>
  <c r="AP308" i="6"/>
  <c r="AP307" i="6" s="1"/>
  <c r="AP10" i="6" s="1"/>
  <c r="AK308" i="6"/>
  <c r="AK307" i="6" s="1"/>
  <c r="AK278" i="6" s="1"/>
  <c r="AK277" i="6" s="1"/>
  <c r="AK9" i="6" s="1"/>
  <c r="AA308" i="6"/>
  <c r="V308" i="6"/>
  <c r="Q308" i="6"/>
  <c r="Q307" i="6" s="1"/>
  <c r="L308" i="6"/>
  <c r="L307" i="6" s="1"/>
  <c r="L10" i="6" s="1"/>
  <c r="AF307" i="6"/>
  <c r="AF278" i="6" s="1"/>
  <c r="AF277" i="6" s="1"/>
  <c r="AF9" i="6" s="1"/>
  <c r="G307" i="6"/>
  <c r="G278" i="6" s="1"/>
  <c r="BT305" i="6"/>
  <c r="BO304" i="6"/>
  <c r="BJ304" i="6"/>
  <c r="BE304" i="6"/>
  <c r="AZ304" i="6"/>
  <c r="AU304" i="6"/>
  <c r="AP304" i="6"/>
  <c r="AK304" i="6"/>
  <c r="AF304" i="6"/>
  <c r="AA304" i="6"/>
  <c r="V304" i="6"/>
  <c r="Q304" i="6"/>
  <c r="L304" i="6"/>
  <c r="BT302" i="6"/>
  <c r="BT301" i="6" s="1"/>
  <c r="BO301" i="6"/>
  <c r="BJ301" i="6"/>
  <c r="BE301" i="6"/>
  <c r="AZ301" i="6"/>
  <c r="AU301" i="6"/>
  <c r="AP301" i="6"/>
  <c r="AK301" i="6"/>
  <c r="AF301" i="6"/>
  <c r="AA301" i="6"/>
  <c r="V301" i="6"/>
  <c r="Q301" i="6"/>
  <c r="L301" i="6"/>
  <c r="BT299" i="6"/>
  <c r="BO298" i="6"/>
  <c r="BJ298" i="6"/>
  <c r="BE298" i="6"/>
  <c r="AZ298" i="6"/>
  <c r="AU298" i="6"/>
  <c r="AP298" i="6"/>
  <c r="AK298" i="6"/>
  <c r="AF298" i="6"/>
  <c r="AA298" i="6"/>
  <c r="V298" i="6"/>
  <c r="Q298" i="6"/>
  <c r="L298" i="6"/>
  <c r="G298" i="6"/>
  <c r="BT296" i="6"/>
  <c r="BO295" i="6"/>
  <c r="BJ295" i="6"/>
  <c r="BE295" i="6"/>
  <c r="AZ295" i="6"/>
  <c r="AU295" i="6"/>
  <c r="AP295" i="6"/>
  <c r="AK295" i="6"/>
  <c r="AF295" i="6"/>
  <c r="AA295" i="6"/>
  <c r="V295" i="6"/>
  <c r="Q295" i="6"/>
  <c r="L295" i="6"/>
  <c r="G295" i="6"/>
  <c r="BT293" i="6"/>
  <c r="BO292" i="6"/>
  <c r="BJ292" i="6"/>
  <c r="BE292" i="6"/>
  <c r="AU292" i="6"/>
  <c r="AK292" i="6"/>
  <c r="AA292" i="6"/>
  <c r="Q292" i="6"/>
  <c r="L292" i="6"/>
  <c r="G292" i="6"/>
  <c r="BT290" i="6"/>
  <c r="BT289" i="6" s="1"/>
  <c r="BO289" i="6"/>
  <c r="BJ289" i="6"/>
  <c r="BE289" i="6"/>
  <c r="AZ289" i="6"/>
  <c r="AU289" i="6"/>
  <c r="AP289" i="6"/>
  <c r="AK289" i="6"/>
  <c r="AF289" i="6"/>
  <c r="AA289" i="6"/>
  <c r="V289" i="6"/>
  <c r="Q289" i="6"/>
  <c r="L289" i="6"/>
  <c r="G289" i="6"/>
  <c r="BT287" i="6"/>
  <c r="BO286" i="6"/>
  <c r="BJ286" i="6"/>
  <c r="BE286" i="6"/>
  <c r="AZ286" i="6"/>
  <c r="AU286" i="6"/>
  <c r="AP286" i="6"/>
  <c r="AK286" i="6"/>
  <c r="AF286" i="6"/>
  <c r="AA286" i="6"/>
  <c r="V286" i="6"/>
  <c r="Q286" i="6"/>
  <c r="L286" i="6"/>
  <c r="G286" i="6"/>
  <c r="BT284" i="6"/>
  <c r="BT283" i="6" s="1"/>
  <c r="BO283" i="6"/>
  <c r="BJ283" i="6"/>
  <c r="BE283" i="6"/>
  <c r="AZ283" i="6"/>
  <c r="AU283" i="6"/>
  <c r="AP283" i="6"/>
  <c r="AK283" i="6"/>
  <c r="AF283" i="6"/>
  <c r="AA283" i="6"/>
  <c r="V283" i="6"/>
  <c r="Q283" i="6"/>
  <c r="L283" i="6"/>
  <c r="G283" i="6"/>
  <c r="BT281" i="6"/>
  <c r="BO280" i="6"/>
  <c r="BJ280" i="6"/>
  <c r="BE280" i="6"/>
  <c r="AZ280" i="6"/>
  <c r="AU280" i="6"/>
  <c r="AP280" i="6"/>
  <c r="AK280" i="6"/>
  <c r="AF280" i="6"/>
  <c r="AA280" i="6"/>
  <c r="V280" i="6"/>
  <c r="Q280" i="6"/>
  <c r="L280" i="6"/>
  <c r="BJ277" i="6"/>
  <c r="BT275" i="6"/>
  <c r="BT274" i="6"/>
  <c r="BT273" i="6"/>
  <c r="BO272" i="6"/>
  <c r="BJ272" i="6"/>
  <c r="BE272" i="6"/>
  <c r="AZ272" i="6"/>
  <c r="AU272" i="6"/>
  <c r="AP272" i="6"/>
  <c r="AK272" i="6"/>
  <c r="AF272" i="6"/>
  <c r="AA272" i="6"/>
  <c r="V272" i="6"/>
  <c r="Q272" i="6"/>
  <c r="L272" i="6"/>
  <c r="G272" i="6"/>
  <c r="BT270" i="6"/>
  <c r="BT269" i="6"/>
  <c r="BT268" i="6"/>
  <c r="BO267" i="6"/>
  <c r="BJ267" i="6"/>
  <c r="BE267" i="6"/>
  <c r="AZ267" i="6"/>
  <c r="AU267" i="6"/>
  <c r="AP267" i="6"/>
  <c r="AK267" i="6"/>
  <c r="AF267" i="6"/>
  <c r="AA267" i="6"/>
  <c r="V267" i="6"/>
  <c r="Q267" i="6"/>
  <c r="L267" i="6"/>
  <c r="G267" i="6"/>
  <c r="BT265" i="6"/>
  <c r="BT264" i="6"/>
  <c r="BT263" i="6"/>
  <c r="BO262" i="6"/>
  <c r="BJ262" i="6"/>
  <c r="BE262" i="6"/>
  <c r="AZ262" i="6"/>
  <c r="AU262" i="6"/>
  <c r="AP262" i="6"/>
  <c r="AK262" i="6"/>
  <c r="AF262" i="6"/>
  <c r="AA262" i="6"/>
  <c r="V262" i="6"/>
  <c r="Q262" i="6"/>
  <c r="L262" i="6"/>
  <c r="G262" i="6"/>
  <c r="BT260" i="6"/>
  <c r="BT259" i="6"/>
  <c r="BT258" i="6"/>
  <c r="BT257" i="6"/>
  <c r="BO256" i="6"/>
  <c r="BJ256" i="6"/>
  <c r="BE256" i="6"/>
  <c r="AZ256" i="6"/>
  <c r="AU256" i="6"/>
  <c r="AP256" i="6"/>
  <c r="AK256" i="6"/>
  <c r="AF256" i="6"/>
  <c r="AA256" i="6"/>
  <c r="V256" i="6"/>
  <c r="Q256" i="6"/>
  <c r="L256" i="6"/>
  <c r="BT254" i="6"/>
  <c r="BT253" i="6"/>
  <c r="BT252" i="6"/>
  <c r="BT251" i="6"/>
  <c r="BO250" i="6"/>
  <c r="BJ250" i="6"/>
  <c r="BE250" i="6"/>
  <c r="AZ250" i="6"/>
  <c r="AU250" i="6"/>
  <c r="AP250" i="6"/>
  <c r="AK250" i="6"/>
  <c r="AF250" i="6"/>
  <c r="AA250" i="6"/>
  <c r="V250" i="6"/>
  <c r="Q250" i="6"/>
  <c r="L250" i="6"/>
  <c r="BT248" i="6"/>
  <c r="BT247" i="6"/>
  <c r="BT246" i="6"/>
  <c r="BT245" i="6"/>
  <c r="AP244" i="6"/>
  <c r="AF244" i="6"/>
  <c r="V244" i="6"/>
  <c r="Q244" i="6"/>
  <c r="BT242" i="6"/>
  <c r="BT241" i="6"/>
  <c r="BT240" i="6"/>
  <c r="BO239" i="6"/>
  <c r="BJ239" i="6"/>
  <c r="BE239" i="6"/>
  <c r="AZ239" i="6"/>
  <c r="AU239" i="6"/>
  <c r="AP239" i="6"/>
  <c r="AK239" i="6"/>
  <c r="AF239" i="6"/>
  <c r="AA239" i="6"/>
  <c r="V239" i="6"/>
  <c r="Q239" i="6"/>
  <c r="L239" i="6"/>
  <c r="G239" i="6"/>
  <c r="BT237" i="6"/>
  <c r="BT236" i="6"/>
  <c r="BT235" i="6"/>
  <c r="BO234" i="6"/>
  <c r="BJ234" i="6"/>
  <c r="BE234" i="6"/>
  <c r="AZ234" i="6"/>
  <c r="AU234" i="6"/>
  <c r="AP234" i="6"/>
  <c r="AK234" i="6"/>
  <c r="AF234" i="6"/>
  <c r="AA234" i="6"/>
  <c r="V234" i="6"/>
  <c r="Q234" i="6"/>
  <c r="L234" i="6"/>
  <c r="G234" i="6"/>
  <c r="BT232" i="6"/>
  <c r="BT231" i="6"/>
  <c r="BT230" i="6"/>
  <c r="BO229" i="6"/>
  <c r="BJ229" i="6"/>
  <c r="BE229" i="6"/>
  <c r="AZ229" i="6"/>
  <c r="AU229" i="6"/>
  <c r="AP229" i="6"/>
  <c r="AK229" i="6"/>
  <c r="AF229" i="6"/>
  <c r="AA229" i="6"/>
  <c r="V229" i="6"/>
  <c r="Q229" i="6"/>
  <c r="L229" i="6"/>
  <c r="G229" i="6"/>
  <c r="BT227" i="6"/>
  <c r="BT226" i="6"/>
  <c r="BT225" i="6"/>
  <c r="BT224" i="6"/>
  <c r="BJ223" i="6"/>
  <c r="AZ223" i="6"/>
  <c r="AU223" i="6"/>
  <c r="AK223" i="6"/>
  <c r="AF223" i="6"/>
  <c r="Q223" i="6"/>
  <c r="D223" i="6"/>
  <c r="BT221" i="6"/>
  <c r="BT220" i="6"/>
  <c r="BT219" i="6"/>
  <c r="BO218" i="6"/>
  <c r="BJ218" i="6"/>
  <c r="BE218" i="6"/>
  <c r="AZ218" i="6"/>
  <c r="AU218" i="6"/>
  <c r="AP218" i="6"/>
  <c r="AK218" i="6"/>
  <c r="AF218" i="6"/>
  <c r="AA218" i="6"/>
  <c r="V218" i="6"/>
  <c r="Q218" i="6"/>
  <c r="L218" i="6"/>
  <c r="G218" i="6"/>
  <c r="BT216" i="6"/>
  <c r="BT215" i="6"/>
  <c r="BT214" i="6"/>
  <c r="BO213" i="6"/>
  <c r="BJ213" i="6"/>
  <c r="BE213" i="6"/>
  <c r="AZ213" i="6"/>
  <c r="AU213" i="6"/>
  <c r="AP213" i="6"/>
  <c r="AK213" i="6"/>
  <c r="AF213" i="6"/>
  <c r="AA213" i="6"/>
  <c r="V213" i="6"/>
  <c r="Q213" i="6"/>
  <c r="L213" i="6"/>
  <c r="G213" i="6"/>
  <c r="BO211" i="6"/>
  <c r="BJ211" i="6"/>
  <c r="BE211" i="6"/>
  <c r="AZ211" i="6"/>
  <c r="AU211" i="6"/>
  <c r="AP211" i="6"/>
  <c r="AK211" i="6"/>
  <c r="AF211" i="6"/>
  <c r="AA211" i="6"/>
  <c r="V211" i="6"/>
  <c r="Q211" i="6"/>
  <c r="L211" i="6"/>
  <c r="G211" i="6"/>
  <c r="BO210" i="6"/>
  <c r="BJ210" i="6"/>
  <c r="BE210" i="6"/>
  <c r="AZ210" i="6"/>
  <c r="AU210" i="6"/>
  <c r="AP210" i="6"/>
  <c r="AK210" i="6"/>
  <c r="AF210" i="6"/>
  <c r="AA210" i="6"/>
  <c r="V210" i="6"/>
  <c r="Q210" i="6"/>
  <c r="L210" i="6"/>
  <c r="G210" i="6"/>
  <c r="BO209" i="6"/>
  <c r="BJ209" i="6"/>
  <c r="BE209" i="6"/>
  <c r="AZ209" i="6"/>
  <c r="AU209" i="6"/>
  <c r="AP209" i="6"/>
  <c r="AK209" i="6"/>
  <c r="AF209" i="6"/>
  <c r="AA209" i="6"/>
  <c r="V209" i="6"/>
  <c r="Q209" i="6"/>
  <c r="L209" i="6"/>
  <c r="G209" i="6"/>
  <c r="BO208" i="6"/>
  <c r="BJ208" i="6"/>
  <c r="BE208" i="6"/>
  <c r="AZ208" i="6"/>
  <c r="AU208" i="6"/>
  <c r="AP208" i="6"/>
  <c r="AK208" i="6"/>
  <c r="AF208" i="6"/>
  <c r="AA208" i="6"/>
  <c r="V208" i="6"/>
  <c r="Q208" i="6"/>
  <c r="L208" i="6"/>
  <c r="G208" i="6"/>
  <c r="BT205" i="6"/>
  <c r="BT204" i="6"/>
  <c r="BT203" i="6"/>
  <c r="BT202" i="6"/>
  <c r="BT201" i="6"/>
  <c r="BT200" i="6"/>
  <c r="BT199" i="6"/>
  <c r="BO198" i="6"/>
  <c r="BJ198" i="6"/>
  <c r="BE198" i="6"/>
  <c r="AZ198" i="6"/>
  <c r="AU198" i="6"/>
  <c r="AP198" i="6"/>
  <c r="AK198" i="6"/>
  <c r="AF198" i="6"/>
  <c r="AA198" i="6"/>
  <c r="V198" i="6"/>
  <c r="Q198" i="6"/>
  <c r="L198" i="6"/>
  <c r="G198" i="6"/>
  <c r="BT196" i="6"/>
  <c r="BT195" i="6"/>
  <c r="BT194" i="6"/>
  <c r="BT193" i="6"/>
  <c r="BT192" i="6"/>
  <c r="BT191" i="6"/>
  <c r="BT190" i="6"/>
  <c r="BT189" i="6"/>
  <c r="BT188" i="6"/>
  <c r="BT187" i="6"/>
  <c r="BT186" i="6"/>
  <c r="BT185" i="6"/>
  <c r="BO184" i="6"/>
  <c r="BJ184" i="6"/>
  <c r="BE184" i="6"/>
  <c r="AZ184" i="6"/>
  <c r="AU184" i="6"/>
  <c r="AP184" i="6"/>
  <c r="AK184" i="6"/>
  <c r="AF184" i="6"/>
  <c r="AA184" i="6"/>
  <c r="V184" i="6"/>
  <c r="Q184" i="6"/>
  <c r="L184" i="6"/>
  <c r="BT175" i="6"/>
  <c r="BT174" i="6"/>
  <c r="BE173" i="6"/>
  <c r="BE172" i="6" s="1"/>
  <c r="AZ173" i="6"/>
  <c r="AZ172" i="6" s="1"/>
  <c r="AU173" i="6"/>
  <c r="AU172" i="6" s="1"/>
  <c r="AP173" i="6"/>
  <c r="AK173" i="6"/>
  <c r="AF173" i="6"/>
  <c r="AF172" i="6" s="1"/>
  <c r="AA173" i="6"/>
  <c r="V173" i="6"/>
  <c r="V172" i="6" s="1"/>
  <c r="BO172" i="6"/>
  <c r="BJ172" i="6"/>
  <c r="AP172" i="6"/>
  <c r="AA172" i="6"/>
  <c r="Q172" i="6"/>
  <c r="L172" i="6"/>
  <c r="G172" i="6"/>
  <c r="BT170" i="6"/>
  <c r="BT169" i="6"/>
  <c r="AU168" i="6"/>
  <c r="AU167" i="6" s="1"/>
  <c r="AP168" i="6"/>
  <c r="AK168" i="6"/>
  <c r="AF168" i="6"/>
  <c r="BO167" i="6"/>
  <c r="BJ167" i="6"/>
  <c r="BE167" i="6"/>
  <c r="AZ167" i="6"/>
  <c r="AK167" i="6"/>
  <c r="AA167" i="6"/>
  <c r="V167" i="6"/>
  <c r="Q167" i="6"/>
  <c r="L167" i="6"/>
  <c r="G167" i="6"/>
  <c r="BT165" i="6"/>
  <c r="BT164" i="6"/>
  <c r="BE163" i="6"/>
  <c r="AZ163" i="6"/>
  <c r="AZ162" i="6" s="1"/>
  <c r="AP163" i="6"/>
  <c r="AP162" i="6" s="1"/>
  <c r="AK163" i="6"/>
  <c r="AF163" i="6"/>
  <c r="AA163" i="6"/>
  <c r="AA162" i="6" s="1"/>
  <c r="V163" i="6"/>
  <c r="L163" i="6"/>
  <c r="BO162" i="6"/>
  <c r="BJ162" i="6"/>
  <c r="AU162" i="6"/>
  <c r="Q162" i="6"/>
  <c r="L162" i="6"/>
  <c r="G162" i="6"/>
  <c r="BT160" i="6"/>
  <c r="BT159" i="6"/>
  <c r="BE158" i="6"/>
  <c r="AZ158" i="6"/>
  <c r="AZ157" i="6" s="1"/>
  <c r="AU158" i="6"/>
  <c r="AP158" i="6"/>
  <c r="AK158" i="6"/>
  <c r="AF158" i="6"/>
  <c r="AA158" i="6"/>
  <c r="V158" i="6"/>
  <c r="V157" i="6" s="1"/>
  <c r="Q158" i="6"/>
  <c r="L158" i="6"/>
  <c r="BO157" i="6"/>
  <c r="BJ157" i="6"/>
  <c r="AP157" i="6"/>
  <c r="AF157" i="6"/>
  <c r="L157" i="6"/>
  <c r="G157" i="6"/>
  <c r="BT155" i="6"/>
  <c r="BT154" i="6"/>
  <c r="BE153" i="6"/>
  <c r="AZ153" i="6"/>
  <c r="AZ152" i="6" s="1"/>
  <c r="AU153" i="6"/>
  <c r="AP153" i="6"/>
  <c r="AP152" i="6" s="1"/>
  <c r="AK153" i="6"/>
  <c r="AF153" i="6"/>
  <c r="AF152" i="6" s="1"/>
  <c r="AA153" i="6"/>
  <c r="V153" i="6"/>
  <c r="V152" i="6" s="1"/>
  <c r="Q153" i="6"/>
  <c r="L153" i="6"/>
  <c r="L152" i="6" s="1"/>
  <c r="BO152" i="6"/>
  <c r="BJ152" i="6"/>
  <c r="G152" i="6"/>
  <c r="BT150" i="6"/>
  <c r="BT149" i="6"/>
  <c r="Q148" i="6"/>
  <c r="Q147" i="6" s="1"/>
  <c r="L148" i="6"/>
  <c r="L147" i="6" s="1"/>
  <c r="BO147" i="6"/>
  <c r="BJ147" i="6"/>
  <c r="BE147" i="6"/>
  <c r="AZ147" i="6"/>
  <c r="AU147" i="6"/>
  <c r="AP147" i="6"/>
  <c r="AK147" i="6"/>
  <c r="AF147" i="6"/>
  <c r="AA147" i="6"/>
  <c r="V147" i="6"/>
  <c r="G147" i="6"/>
  <c r="BT145" i="6"/>
  <c r="BT144" i="6"/>
  <c r="BT143" i="6"/>
  <c r="BO142" i="6"/>
  <c r="BJ142" i="6"/>
  <c r="BE142" i="6"/>
  <c r="AZ142" i="6"/>
  <c r="AU142" i="6"/>
  <c r="AP142" i="6"/>
  <c r="AK142" i="6"/>
  <c r="AF142" i="6"/>
  <c r="AA142" i="6"/>
  <c r="V142" i="6"/>
  <c r="Q142" i="6"/>
  <c r="L142" i="6"/>
  <c r="G142" i="6"/>
  <c r="BT140" i="6"/>
  <c r="BT139" i="6"/>
  <c r="BT138" i="6"/>
  <c r="AZ138" i="6"/>
  <c r="BO137" i="6"/>
  <c r="BJ137" i="6"/>
  <c r="BE137" i="6"/>
  <c r="AZ137" i="6"/>
  <c r="AU137" i="6"/>
  <c r="AP137" i="6"/>
  <c r="AK137" i="6"/>
  <c r="AF137" i="6"/>
  <c r="AA137" i="6"/>
  <c r="V137" i="6"/>
  <c r="Q137" i="6"/>
  <c r="L137" i="6"/>
  <c r="G137" i="6"/>
  <c r="BT135" i="6"/>
  <c r="BT134" i="6"/>
  <c r="BT133" i="6"/>
  <c r="L132" i="6"/>
  <c r="BO131" i="6"/>
  <c r="BJ131" i="6"/>
  <c r="BE131" i="6"/>
  <c r="AZ131" i="6"/>
  <c r="AU131" i="6"/>
  <c r="AP131" i="6"/>
  <c r="AK131" i="6"/>
  <c r="AF131" i="6"/>
  <c r="AA131" i="6"/>
  <c r="V131" i="6"/>
  <c r="Q131" i="6"/>
  <c r="G131" i="6"/>
  <c r="BT129" i="6"/>
  <c r="BT128" i="6"/>
  <c r="BT127" i="6"/>
  <c r="BT126" i="6"/>
  <c r="BO125" i="6"/>
  <c r="BJ125" i="6"/>
  <c r="BE125" i="6"/>
  <c r="AZ125" i="6"/>
  <c r="AU125" i="6"/>
  <c r="AP125" i="6"/>
  <c r="AK125" i="6"/>
  <c r="AF125" i="6"/>
  <c r="AA125" i="6"/>
  <c r="V125" i="6"/>
  <c r="Q125" i="6"/>
  <c r="L125" i="6"/>
  <c r="G125" i="6"/>
  <c r="BT123" i="6"/>
  <c r="BT122" i="6"/>
  <c r="BT121" i="6"/>
  <c r="BT120" i="6"/>
  <c r="BO119" i="6"/>
  <c r="BJ119" i="6"/>
  <c r="BE119" i="6"/>
  <c r="AZ119" i="6"/>
  <c r="AU119" i="6"/>
  <c r="AP119" i="6"/>
  <c r="AK119" i="6"/>
  <c r="AF119" i="6"/>
  <c r="AA119" i="6"/>
  <c r="V119" i="6"/>
  <c r="Q119" i="6"/>
  <c r="L119" i="6"/>
  <c r="G119" i="6"/>
  <c r="BT117" i="6"/>
  <c r="BT116" i="6"/>
  <c r="AU115" i="6"/>
  <c r="AU114" i="6" s="1"/>
  <c r="AP115" i="6"/>
  <c r="AK115" i="6"/>
  <c r="BO114" i="6"/>
  <c r="BJ114" i="6"/>
  <c r="BE114" i="6"/>
  <c r="AZ114" i="6"/>
  <c r="AP114" i="6"/>
  <c r="AF114" i="6"/>
  <c r="AA114" i="6"/>
  <c r="V114" i="6"/>
  <c r="Q114" i="6"/>
  <c r="L114" i="6"/>
  <c r="G114" i="6"/>
  <c r="BT112" i="6"/>
  <c r="BT111" i="6"/>
  <c r="BT110" i="6"/>
  <c r="BO109" i="6"/>
  <c r="BJ109" i="6"/>
  <c r="BE109" i="6"/>
  <c r="AZ109" i="6"/>
  <c r="AU109" i="6"/>
  <c r="AP109" i="6"/>
  <c r="AK109" i="6"/>
  <c r="AF109" i="6"/>
  <c r="AA109" i="6"/>
  <c r="V109" i="6"/>
  <c r="Q109" i="6"/>
  <c r="L109" i="6"/>
  <c r="G109" i="6"/>
  <c r="BT107" i="6"/>
  <c r="BT106" i="6"/>
  <c r="BT105" i="6"/>
  <c r="BO104" i="6"/>
  <c r="BJ104" i="6"/>
  <c r="BE104" i="6"/>
  <c r="AZ104" i="6"/>
  <c r="AU104" i="6"/>
  <c r="AP104" i="6"/>
  <c r="AK104" i="6"/>
  <c r="AF104" i="6"/>
  <c r="AA104" i="6"/>
  <c r="V104" i="6"/>
  <c r="Q104" i="6"/>
  <c r="L104" i="6"/>
  <c r="G104" i="6"/>
  <c r="BT102" i="6"/>
  <c r="BT101" i="6"/>
  <c r="BT100" i="6"/>
  <c r="BO99" i="6"/>
  <c r="BJ99" i="6"/>
  <c r="BE99" i="6"/>
  <c r="AZ99" i="6"/>
  <c r="AU99" i="6"/>
  <c r="AP99" i="6"/>
  <c r="AK99" i="6"/>
  <c r="AF99" i="6"/>
  <c r="AA99" i="6"/>
  <c r="V99" i="6"/>
  <c r="Q99" i="6"/>
  <c r="L99" i="6"/>
  <c r="G99" i="6"/>
  <c r="BT97" i="6"/>
  <c r="BT96" i="6"/>
  <c r="BT95" i="6"/>
  <c r="BO94" i="6"/>
  <c r="BJ94" i="6"/>
  <c r="BE94" i="6"/>
  <c r="AZ94" i="6"/>
  <c r="AU94" i="6"/>
  <c r="AP94" i="6"/>
  <c r="AK94" i="6"/>
  <c r="AF94" i="6"/>
  <c r="AA94" i="6"/>
  <c r="V94" i="6"/>
  <c r="Q94" i="6"/>
  <c r="L94" i="6"/>
  <c r="G94" i="6"/>
  <c r="BT92" i="6"/>
  <c r="BT91" i="6"/>
  <c r="BT90" i="6"/>
  <c r="BO89" i="6"/>
  <c r="BJ89" i="6"/>
  <c r="BE89" i="6"/>
  <c r="AZ89" i="6"/>
  <c r="AU89" i="6"/>
  <c r="AP89" i="6"/>
  <c r="AK89" i="6"/>
  <c r="AF89" i="6"/>
  <c r="AA89" i="6"/>
  <c r="V89" i="6"/>
  <c r="Q89" i="6"/>
  <c r="L89" i="6"/>
  <c r="G89" i="6"/>
  <c r="BT87" i="6"/>
  <c r="BT86" i="6"/>
  <c r="BT85" i="6"/>
  <c r="BO84" i="6"/>
  <c r="BJ84" i="6"/>
  <c r="BE84" i="6"/>
  <c r="AZ84" i="6"/>
  <c r="AU84" i="6"/>
  <c r="AP84" i="6"/>
  <c r="AK84" i="6"/>
  <c r="AF84" i="6"/>
  <c r="AA84" i="6"/>
  <c r="V84" i="6"/>
  <c r="Q84" i="6"/>
  <c r="L84" i="6"/>
  <c r="G84" i="6"/>
  <c r="BT82" i="6"/>
  <c r="BT81" i="6"/>
  <c r="BT80" i="6"/>
  <c r="BT79" i="6"/>
  <c r="BO78" i="6"/>
  <c r="BJ78" i="6"/>
  <c r="BE78" i="6"/>
  <c r="AZ78" i="6"/>
  <c r="AU78" i="6"/>
  <c r="AP78" i="6"/>
  <c r="AK78" i="6"/>
  <c r="AF78" i="6"/>
  <c r="AA78" i="6"/>
  <c r="V78" i="6"/>
  <c r="Q78" i="6"/>
  <c r="L78" i="6"/>
  <c r="G78" i="6"/>
  <c r="BT76" i="6"/>
  <c r="BT75" i="6"/>
  <c r="BT74" i="6"/>
  <c r="BO73" i="6"/>
  <c r="BJ73" i="6"/>
  <c r="BE73" i="6"/>
  <c r="AZ73" i="6"/>
  <c r="AU73" i="6"/>
  <c r="AP73" i="6"/>
  <c r="AK73" i="6"/>
  <c r="AF73" i="6"/>
  <c r="AA73" i="6"/>
  <c r="V73" i="6"/>
  <c r="Q73" i="6"/>
  <c r="L73" i="6"/>
  <c r="G73" i="6"/>
  <c r="BT71" i="6"/>
  <c r="BT70" i="6"/>
  <c r="BT69" i="6"/>
  <c r="BE68" i="6"/>
  <c r="BE67" i="6" s="1"/>
  <c r="AZ68" i="6"/>
  <c r="AZ67" i="6" s="1"/>
  <c r="AU68" i="6"/>
  <c r="AP68" i="6"/>
  <c r="AP67" i="6" s="1"/>
  <c r="AK68" i="6"/>
  <c r="AF68" i="6"/>
  <c r="AF67" i="6" s="1"/>
  <c r="AA68" i="6"/>
  <c r="AA67" i="6" s="1"/>
  <c r="V68" i="6"/>
  <c r="V67" i="6" s="1"/>
  <c r="BO67" i="6"/>
  <c r="BJ67" i="6"/>
  <c r="Q67" i="6"/>
  <c r="L67" i="6"/>
  <c r="G67" i="6"/>
  <c r="BT65" i="6"/>
  <c r="BT64" i="6"/>
  <c r="BT63" i="6"/>
  <c r="BT62" i="6"/>
  <c r="BO61" i="6"/>
  <c r="BJ61" i="6"/>
  <c r="BE61" i="6"/>
  <c r="AZ61" i="6"/>
  <c r="AU61" i="6"/>
  <c r="AP61" i="6"/>
  <c r="AK61" i="6"/>
  <c r="AF61" i="6"/>
  <c r="AA61" i="6"/>
  <c r="V61" i="6"/>
  <c r="Q61" i="6"/>
  <c r="L61" i="6"/>
  <c r="G61" i="6"/>
  <c r="BT59" i="6"/>
  <c r="BT58" i="6"/>
  <c r="BE57" i="6"/>
  <c r="AZ57" i="6"/>
  <c r="AU57" i="6"/>
  <c r="AP57" i="6"/>
  <c r="AP56" i="6" s="1"/>
  <c r="AK57" i="6"/>
  <c r="AF57" i="6"/>
  <c r="AF56" i="6" s="1"/>
  <c r="AA57" i="6"/>
  <c r="V57" i="6"/>
  <c r="Q57" i="6"/>
  <c r="L57" i="6"/>
  <c r="L56" i="6" s="1"/>
  <c r="BO56" i="6"/>
  <c r="BJ56" i="6"/>
  <c r="AU56" i="6"/>
  <c r="Q56" i="6"/>
  <c r="G56" i="6"/>
  <c r="BT54" i="6"/>
  <c r="BT53" i="6"/>
  <c r="BE52" i="6"/>
  <c r="AZ52" i="6"/>
  <c r="AU52" i="6"/>
  <c r="AU51" i="6" s="1"/>
  <c r="AK52" i="6"/>
  <c r="AK51" i="6" s="1"/>
  <c r="AA52" i="6"/>
  <c r="V52" i="6"/>
  <c r="V51" i="6" s="1"/>
  <c r="Q52" i="6"/>
  <c r="Q51" i="6" s="1"/>
  <c r="L52" i="6"/>
  <c r="BO51" i="6"/>
  <c r="BJ51" i="6"/>
  <c r="BE51" i="6"/>
  <c r="AP51" i="6"/>
  <c r="AF51" i="6"/>
  <c r="G51" i="6"/>
  <c r="BT49" i="6"/>
  <c r="BT48" i="6"/>
  <c r="BT47" i="6"/>
  <c r="BE46" i="6"/>
  <c r="AZ46" i="6"/>
  <c r="AU46" i="6"/>
  <c r="AU45" i="6" s="1"/>
  <c r="AP46" i="6"/>
  <c r="AK46" i="6"/>
  <c r="AF46" i="6"/>
  <c r="AF45" i="6" s="1"/>
  <c r="AA46" i="6"/>
  <c r="V46" i="6"/>
  <c r="Q46" i="6"/>
  <c r="Q45" i="6" s="1"/>
  <c r="L46" i="6"/>
  <c r="L45" i="6" s="1"/>
  <c r="BO45" i="6"/>
  <c r="BJ45" i="6"/>
  <c r="BE45" i="6"/>
  <c r="AA45" i="6"/>
  <c r="G45" i="6"/>
  <c r="BT43" i="6"/>
  <c r="BT42" i="6"/>
  <c r="BT41" i="6"/>
  <c r="AZ40" i="6"/>
  <c r="AU40" i="6"/>
  <c r="AU39" i="6" s="1"/>
  <c r="AP40" i="6"/>
  <c r="AP39" i="6" s="1"/>
  <c r="AF40" i="6"/>
  <c r="V40" i="6"/>
  <c r="V39" i="6" s="1"/>
  <c r="Q40" i="6"/>
  <c r="L40" i="6"/>
  <c r="L39" i="6" s="1"/>
  <c r="BO39" i="6"/>
  <c r="BJ39" i="6"/>
  <c r="BE39" i="6"/>
  <c r="AZ39" i="6"/>
  <c r="AK39" i="6"/>
  <c r="AA39" i="6"/>
  <c r="G39" i="6"/>
  <c r="BT37" i="6"/>
  <c r="BT36" i="6"/>
  <c r="BT35" i="6"/>
  <c r="BE34" i="6"/>
  <c r="BE33" i="6" s="1"/>
  <c r="AZ34" i="6"/>
  <c r="AU34" i="6"/>
  <c r="AP34" i="6"/>
  <c r="AP33" i="6" s="1"/>
  <c r="AK34" i="6"/>
  <c r="AF34" i="6"/>
  <c r="AA34" i="6"/>
  <c r="V34" i="6"/>
  <c r="Q34" i="6"/>
  <c r="L34" i="6"/>
  <c r="BO33" i="6"/>
  <c r="BJ33" i="6"/>
  <c r="AK33" i="6"/>
  <c r="AA33" i="6"/>
  <c r="L33" i="6"/>
  <c r="G33" i="6"/>
  <c r="BT31" i="6"/>
  <c r="BT30" i="6"/>
  <c r="BT29" i="6"/>
  <c r="BE28" i="6"/>
  <c r="AZ28" i="6"/>
  <c r="AZ27" i="6" s="1"/>
  <c r="AU28" i="6"/>
  <c r="AP28" i="6"/>
  <c r="AK28" i="6"/>
  <c r="AF28" i="6"/>
  <c r="AA28" i="6"/>
  <c r="V28" i="6"/>
  <c r="V27" i="6" s="1"/>
  <c r="Q28" i="6"/>
  <c r="Q27" i="6" s="1"/>
  <c r="L28" i="6"/>
  <c r="BO27" i="6"/>
  <c r="BJ27" i="6"/>
  <c r="AU27" i="6"/>
  <c r="AK27" i="6"/>
  <c r="G27" i="6"/>
  <c r="BT25" i="6"/>
  <c r="BT24" i="6"/>
  <c r="BT23" i="6"/>
  <c r="BE22" i="6"/>
  <c r="BE21" i="6" s="1"/>
  <c r="AZ22" i="6"/>
  <c r="AU22" i="6"/>
  <c r="AU21" i="6" s="1"/>
  <c r="AP22" i="6"/>
  <c r="AK22" i="6"/>
  <c r="AF22" i="6"/>
  <c r="AA22" i="6"/>
  <c r="V22" i="6"/>
  <c r="Q22" i="6"/>
  <c r="Q21" i="6" s="1"/>
  <c r="L22" i="6"/>
  <c r="L21" i="6" s="1"/>
  <c r="BO21" i="6"/>
  <c r="BJ21" i="6"/>
  <c r="AF21" i="6"/>
  <c r="AA21" i="6"/>
  <c r="G21" i="6"/>
  <c r="BT19" i="6"/>
  <c r="BO18" i="6"/>
  <c r="BJ18" i="6"/>
  <c r="BE18" i="6"/>
  <c r="AZ18" i="6"/>
  <c r="AU18" i="6"/>
  <c r="AP18" i="6"/>
  <c r="AK18" i="6"/>
  <c r="AF18" i="6"/>
  <c r="AA18" i="6"/>
  <c r="V18" i="6"/>
  <c r="Q18" i="6"/>
  <c r="L18" i="6"/>
  <c r="G18" i="6"/>
  <c r="BO16" i="6"/>
  <c r="BJ16" i="6"/>
  <c r="BE16" i="6"/>
  <c r="AZ16" i="6"/>
  <c r="AU16" i="6"/>
  <c r="AP16" i="6"/>
  <c r="AK16" i="6"/>
  <c r="AF16" i="6"/>
  <c r="AA16" i="6"/>
  <c r="V16" i="6"/>
  <c r="Q16" i="6"/>
  <c r="L16" i="6"/>
  <c r="BO15" i="6"/>
  <c r="BJ15" i="6"/>
  <c r="BE15" i="6"/>
  <c r="AZ15" i="6"/>
  <c r="AU15" i="6"/>
  <c r="AP15" i="6"/>
  <c r="AK15" i="6"/>
  <c r="AF15" i="6"/>
  <c r="AA15" i="6"/>
  <c r="V15" i="6"/>
  <c r="Q15" i="6"/>
  <c r="L15" i="6"/>
  <c r="BO14" i="6"/>
  <c r="BJ14" i="6"/>
  <c r="BE14" i="6"/>
  <c r="AZ14" i="6"/>
  <c r="AU14" i="6"/>
  <c r="AP14" i="6"/>
  <c r="AK14" i="6"/>
  <c r="AF14" i="6"/>
  <c r="AA14" i="6"/>
  <c r="V14" i="6"/>
  <c r="Q14" i="6"/>
  <c r="L14" i="6"/>
  <c r="G12" i="6"/>
  <c r="G7" i="6" s="1"/>
  <c r="BO10" i="6"/>
  <c r="BE10" i="6"/>
  <c r="Q10" i="6"/>
  <c r="BJ9" i="6"/>
  <c r="G3" i="6"/>
  <c r="G181" i="6" s="1"/>
  <c r="G2" i="6"/>
  <c r="G180" i="6" s="1"/>
  <c r="BW145" i="4"/>
  <c r="BW143" i="4"/>
  <c r="BW142" i="4"/>
  <c r="BW141" i="4"/>
  <c r="BW140" i="4"/>
  <c r="BW138" i="4"/>
  <c r="BW134" i="4"/>
  <c r="BW133" i="4"/>
  <c r="BW131" i="4"/>
  <c r="BW130" i="4"/>
  <c r="BW127" i="4"/>
  <c r="BW126" i="4"/>
  <c r="BW124" i="4"/>
  <c r="BW123" i="4"/>
  <c r="BW122" i="4"/>
  <c r="BW120" i="4"/>
  <c r="BW119" i="4"/>
  <c r="BW116" i="4"/>
  <c r="BW115" i="4"/>
  <c r="BW114" i="4" s="1"/>
  <c r="BU112" i="4"/>
  <c r="BT112" i="4"/>
  <c r="BS112" i="4"/>
  <c r="BR112" i="4"/>
  <c r="BQ112" i="4"/>
  <c r="BP112" i="4"/>
  <c r="BO112" i="4"/>
  <c r="BN112" i="4"/>
  <c r="BM112" i="4"/>
  <c r="BL112" i="4"/>
  <c r="BK112" i="4"/>
  <c r="BJ112" i="4"/>
  <c r="BI112" i="4"/>
  <c r="BH112" i="4"/>
  <c r="BG112" i="4"/>
  <c r="BF112" i="4"/>
  <c r="BE112" i="4"/>
  <c r="BD112" i="4"/>
  <c r="BC112" i="4"/>
  <c r="BB112" i="4"/>
  <c r="BA112" i="4"/>
  <c r="AZ112" i="4"/>
  <c r="AY112" i="4"/>
  <c r="AX112" i="4"/>
  <c r="AW112" i="4"/>
  <c r="AV112" i="4"/>
  <c r="AU112" i="4"/>
  <c r="AT112" i="4"/>
  <c r="AS112" i="4"/>
  <c r="AR112" i="4"/>
  <c r="AQ112" i="4"/>
  <c r="AP112" i="4"/>
  <c r="AO112" i="4"/>
  <c r="AN112" i="4"/>
  <c r="AM112" i="4"/>
  <c r="AL112" i="4"/>
  <c r="AK112" i="4"/>
  <c r="AJ112" i="4"/>
  <c r="AI112" i="4"/>
  <c r="AH112" i="4"/>
  <c r="AG112" i="4"/>
  <c r="AF112" i="4"/>
  <c r="AE112" i="4"/>
  <c r="AD112" i="4"/>
  <c r="AC112" i="4"/>
  <c r="AB112" i="4"/>
  <c r="AA112" i="4"/>
  <c r="Z112" i="4"/>
  <c r="Y112" i="4"/>
  <c r="X112" i="4"/>
  <c r="W112" i="4"/>
  <c r="V112" i="4"/>
  <c r="U112" i="4"/>
  <c r="T112" i="4"/>
  <c r="S112" i="4"/>
  <c r="R112" i="4"/>
  <c r="Q112" i="4"/>
  <c r="P112" i="4"/>
  <c r="O112" i="4"/>
  <c r="N112" i="4"/>
  <c r="M112" i="4"/>
  <c r="BT111" i="4"/>
  <c r="BS111" i="4"/>
  <c r="BR111" i="4"/>
  <c r="BQ111" i="4"/>
  <c r="BO111" i="4"/>
  <c r="BN111" i="4"/>
  <c r="BM111" i="4"/>
  <c r="BL111" i="4"/>
  <c r="BJ111" i="4"/>
  <c r="BI111" i="4"/>
  <c r="BH111" i="4"/>
  <c r="BG111" i="4"/>
  <c r="BE111" i="4"/>
  <c r="BD111" i="4"/>
  <c r="BC111" i="4"/>
  <c r="BB111" i="4"/>
  <c r="AZ111" i="4"/>
  <c r="AY111" i="4"/>
  <c r="AX111" i="4"/>
  <c r="AW111" i="4"/>
  <c r="AU111" i="4"/>
  <c r="AT111" i="4"/>
  <c r="AS111" i="4"/>
  <c r="AR111" i="4"/>
  <c r="AP111" i="4"/>
  <c r="AO111" i="4"/>
  <c r="AN111" i="4"/>
  <c r="AM111" i="4"/>
  <c r="AK111" i="4"/>
  <c r="AJ111" i="4"/>
  <c r="AI111" i="4"/>
  <c r="AH111" i="4"/>
  <c r="AF111" i="4"/>
  <c r="AE111" i="4"/>
  <c r="AD111" i="4"/>
  <c r="AC111" i="4"/>
  <c r="AA111" i="4"/>
  <c r="Z111" i="4"/>
  <c r="Y111" i="4"/>
  <c r="X111" i="4"/>
  <c r="V111" i="4"/>
  <c r="U111" i="4"/>
  <c r="T111" i="4"/>
  <c r="S111" i="4"/>
  <c r="Q111" i="4"/>
  <c r="P111" i="4"/>
  <c r="O111" i="4"/>
  <c r="N111" i="4"/>
  <c r="BT110" i="4"/>
  <c r="BS110" i="4"/>
  <c r="BR110" i="4"/>
  <c r="BQ110" i="4"/>
  <c r="BO110" i="4"/>
  <c r="BN110" i="4"/>
  <c r="BM110" i="4"/>
  <c r="BL110" i="4"/>
  <c r="BJ110" i="4"/>
  <c r="BI110" i="4"/>
  <c r="BH110" i="4"/>
  <c r="BG110" i="4"/>
  <c r="BE110" i="4"/>
  <c r="BD110" i="4"/>
  <c r="BC110" i="4"/>
  <c r="BB110" i="4"/>
  <c r="AZ110" i="4"/>
  <c r="AY110" i="4"/>
  <c r="AX110" i="4"/>
  <c r="AW110" i="4"/>
  <c r="AU110" i="4"/>
  <c r="AT110" i="4"/>
  <c r="AS110" i="4"/>
  <c r="AR110" i="4"/>
  <c r="AP110" i="4"/>
  <c r="AO110" i="4"/>
  <c r="AN110" i="4"/>
  <c r="AM110" i="4"/>
  <c r="AK110" i="4"/>
  <c r="AJ110" i="4"/>
  <c r="AI110" i="4"/>
  <c r="AH110" i="4"/>
  <c r="AF110" i="4"/>
  <c r="AE110" i="4"/>
  <c r="AD110" i="4"/>
  <c r="AC110" i="4"/>
  <c r="AA110" i="4"/>
  <c r="Z110" i="4"/>
  <c r="Y110" i="4"/>
  <c r="X110" i="4"/>
  <c r="V110" i="4"/>
  <c r="U110" i="4"/>
  <c r="T110" i="4"/>
  <c r="S110" i="4"/>
  <c r="Q110" i="4"/>
  <c r="P110" i="4"/>
  <c r="O110" i="4"/>
  <c r="N110" i="4"/>
  <c r="BW109" i="4"/>
  <c r="BU109" i="4"/>
  <c r="BT109" i="4"/>
  <c r="BS109" i="4"/>
  <c r="BR109" i="4"/>
  <c r="BQ109" i="4"/>
  <c r="BP109" i="4"/>
  <c r="BO109" i="4"/>
  <c r="BN109" i="4"/>
  <c r="BM109" i="4"/>
  <c r="BL109" i="4"/>
  <c r="BK109" i="4"/>
  <c r="BJ109" i="4"/>
  <c r="BI109" i="4"/>
  <c r="BH109" i="4"/>
  <c r="BG109" i="4"/>
  <c r="BF109" i="4"/>
  <c r="BE109" i="4"/>
  <c r="BD109" i="4"/>
  <c r="BC109" i="4"/>
  <c r="BB109" i="4"/>
  <c r="BA109" i="4"/>
  <c r="AZ109" i="4"/>
  <c r="AY109" i="4"/>
  <c r="AX109" i="4"/>
  <c r="AW109" i="4"/>
  <c r="AV109" i="4"/>
  <c r="AU109" i="4"/>
  <c r="AT109" i="4"/>
  <c r="AS109" i="4"/>
  <c r="AR109" i="4"/>
  <c r="AQ109" i="4"/>
  <c r="AP109" i="4"/>
  <c r="AO109" i="4"/>
  <c r="AN109" i="4"/>
  <c r="AM109" i="4"/>
  <c r="AL109" i="4"/>
  <c r="AK109" i="4"/>
  <c r="AJ109" i="4"/>
  <c r="AI109" i="4"/>
  <c r="AH109" i="4"/>
  <c r="AG109" i="4"/>
  <c r="AF109" i="4"/>
  <c r="AE109" i="4"/>
  <c r="AD109" i="4"/>
  <c r="AC109" i="4"/>
  <c r="AB109" i="4"/>
  <c r="AA109" i="4"/>
  <c r="Z109" i="4"/>
  <c r="Y109" i="4"/>
  <c r="X109" i="4"/>
  <c r="W109" i="4"/>
  <c r="V109" i="4"/>
  <c r="U109" i="4"/>
  <c r="T109" i="4"/>
  <c r="S109" i="4"/>
  <c r="R109" i="4"/>
  <c r="Q109" i="4"/>
  <c r="P109" i="4"/>
  <c r="O109" i="4"/>
  <c r="N109" i="4"/>
  <c r="M109" i="4"/>
  <c r="BW108" i="4"/>
  <c r="BT108" i="4"/>
  <c r="BS108" i="4"/>
  <c r="BR108" i="4"/>
  <c r="BQ108" i="4"/>
  <c r="BO108" i="4"/>
  <c r="BN108" i="4"/>
  <c r="BM108" i="4"/>
  <c r="BL108" i="4"/>
  <c r="BJ108" i="4"/>
  <c r="BI108" i="4"/>
  <c r="BH108" i="4"/>
  <c r="BG108" i="4"/>
  <c r="BE108" i="4"/>
  <c r="BD108" i="4"/>
  <c r="BC108" i="4"/>
  <c r="BB108" i="4"/>
  <c r="AZ108" i="4"/>
  <c r="AY108" i="4"/>
  <c r="AX108" i="4"/>
  <c r="AW108" i="4"/>
  <c r="AU108" i="4"/>
  <c r="AT108" i="4"/>
  <c r="AS108" i="4"/>
  <c r="AR108" i="4"/>
  <c r="AP108" i="4"/>
  <c r="AO108" i="4"/>
  <c r="AN108" i="4"/>
  <c r="AM108" i="4"/>
  <c r="AK108" i="4"/>
  <c r="AJ108" i="4"/>
  <c r="AI108" i="4"/>
  <c r="AH108" i="4"/>
  <c r="AF108" i="4"/>
  <c r="AE108" i="4"/>
  <c r="AD108" i="4"/>
  <c r="AC108" i="4"/>
  <c r="AA108" i="4"/>
  <c r="Z108" i="4"/>
  <c r="Y108" i="4"/>
  <c r="X108" i="4"/>
  <c r="V108" i="4"/>
  <c r="U108" i="4"/>
  <c r="T108" i="4"/>
  <c r="S108" i="4"/>
  <c r="Q108" i="4"/>
  <c r="P108" i="4"/>
  <c r="O108" i="4"/>
  <c r="N108" i="4"/>
  <c r="BT107" i="4"/>
  <c r="BS107" i="4"/>
  <c r="BR107" i="4"/>
  <c r="BQ107" i="4"/>
  <c r="BO107" i="4"/>
  <c r="BN107" i="4"/>
  <c r="BM107" i="4"/>
  <c r="BL107" i="4"/>
  <c r="BJ107" i="4"/>
  <c r="BI107" i="4"/>
  <c r="BH107" i="4"/>
  <c r="BG107" i="4"/>
  <c r="BE107" i="4"/>
  <c r="BD107" i="4"/>
  <c r="BC107" i="4"/>
  <c r="BB107" i="4"/>
  <c r="AZ107" i="4"/>
  <c r="AY107" i="4"/>
  <c r="AX107" i="4"/>
  <c r="AW107" i="4"/>
  <c r="AU107" i="4"/>
  <c r="AT107" i="4"/>
  <c r="AS107" i="4"/>
  <c r="AR107" i="4"/>
  <c r="AP107" i="4"/>
  <c r="AO107" i="4"/>
  <c r="AN107" i="4"/>
  <c r="AM107" i="4"/>
  <c r="AK107" i="4"/>
  <c r="AJ107" i="4"/>
  <c r="AI107" i="4"/>
  <c r="AH107" i="4"/>
  <c r="AF107" i="4"/>
  <c r="AE107" i="4"/>
  <c r="AD107" i="4"/>
  <c r="AC107" i="4"/>
  <c r="AA107" i="4"/>
  <c r="Z107" i="4"/>
  <c r="Y107" i="4"/>
  <c r="X107" i="4"/>
  <c r="V107" i="4"/>
  <c r="U107" i="4"/>
  <c r="T107" i="4"/>
  <c r="S107" i="4"/>
  <c r="Q107" i="4"/>
  <c r="P107" i="4"/>
  <c r="O107" i="4"/>
  <c r="N107" i="4"/>
  <c r="BW106" i="4"/>
  <c r="BT106" i="4"/>
  <c r="BS106" i="4"/>
  <c r="BR106" i="4"/>
  <c r="BQ106" i="4"/>
  <c r="BO106" i="4"/>
  <c r="BN106" i="4"/>
  <c r="BM106" i="4"/>
  <c r="BL106" i="4"/>
  <c r="BJ106" i="4"/>
  <c r="BI106" i="4"/>
  <c r="BH106" i="4"/>
  <c r="BG106" i="4"/>
  <c r="BE106" i="4"/>
  <c r="BD106" i="4"/>
  <c r="BC106" i="4"/>
  <c r="BB106" i="4"/>
  <c r="AZ106" i="4"/>
  <c r="AY106" i="4"/>
  <c r="AX106" i="4"/>
  <c r="AW106" i="4"/>
  <c r="AU106" i="4"/>
  <c r="AT106" i="4"/>
  <c r="AS106" i="4"/>
  <c r="AR106" i="4"/>
  <c r="AP106" i="4"/>
  <c r="AO106" i="4"/>
  <c r="AN106" i="4"/>
  <c r="AM106" i="4"/>
  <c r="AK106" i="4"/>
  <c r="AJ106" i="4"/>
  <c r="AI106" i="4"/>
  <c r="AH106" i="4"/>
  <c r="AF106" i="4"/>
  <c r="AE106" i="4"/>
  <c r="AD106" i="4"/>
  <c r="AC106" i="4"/>
  <c r="AA106" i="4"/>
  <c r="Z106" i="4"/>
  <c r="Y106" i="4"/>
  <c r="X106" i="4"/>
  <c r="V106" i="4"/>
  <c r="U106" i="4"/>
  <c r="T106" i="4"/>
  <c r="S106" i="4"/>
  <c r="Q106" i="4"/>
  <c r="P106" i="4"/>
  <c r="O106" i="4"/>
  <c r="N106" i="4"/>
  <c r="BW105" i="4"/>
  <c r="BU105" i="4"/>
  <c r="BT105" i="4"/>
  <c r="BS105" i="4"/>
  <c r="BR105" i="4"/>
  <c r="BQ105" i="4"/>
  <c r="BP105" i="4"/>
  <c r="BO105" i="4"/>
  <c r="BN105" i="4"/>
  <c r="BM105" i="4"/>
  <c r="BL105" i="4"/>
  <c r="BK105" i="4"/>
  <c r="BJ105" i="4"/>
  <c r="BI105" i="4"/>
  <c r="BH105" i="4"/>
  <c r="BG105" i="4"/>
  <c r="BF105" i="4"/>
  <c r="BE105" i="4"/>
  <c r="BD105" i="4"/>
  <c r="BC105" i="4"/>
  <c r="BB105" i="4"/>
  <c r="BA105" i="4"/>
  <c r="AZ105" i="4"/>
  <c r="AY105" i="4"/>
  <c r="AX105" i="4"/>
  <c r="AW105" i="4"/>
  <c r="AV105" i="4"/>
  <c r="AU105" i="4"/>
  <c r="AT105" i="4"/>
  <c r="AS105" i="4"/>
  <c r="AR105" i="4"/>
  <c r="AQ105" i="4"/>
  <c r="AP105" i="4"/>
  <c r="AO105" i="4"/>
  <c r="AN105" i="4"/>
  <c r="AM105" i="4"/>
  <c r="AL105" i="4"/>
  <c r="AK105" i="4"/>
  <c r="AJ105" i="4"/>
  <c r="AI105" i="4"/>
  <c r="AH105" i="4"/>
  <c r="AG105" i="4"/>
  <c r="AF105" i="4"/>
  <c r="AE105" i="4"/>
  <c r="AD105" i="4"/>
  <c r="AC105" i="4"/>
  <c r="AB105" i="4"/>
  <c r="AA105" i="4"/>
  <c r="Z105" i="4"/>
  <c r="Y105" i="4"/>
  <c r="X105" i="4"/>
  <c r="W105" i="4"/>
  <c r="V105" i="4"/>
  <c r="U105" i="4"/>
  <c r="T105" i="4"/>
  <c r="S105" i="4"/>
  <c r="R105" i="4"/>
  <c r="Q105" i="4"/>
  <c r="P105" i="4"/>
  <c r="O105" i="4"/>
  <c r="N105" i="4"/>
  <c r="M105" i="4"/>
  <c r="BT104" i="4"/>
  <c r="BS104" i="4"/>
  <c r="BR104" i="4"/>
  <c r="BQ104" i="4"/>
  <c r="BO104" i="4"/>
  <c r="BN104" i="4"/>
  <c r="BM104" i="4"/>
  <c r="BL104" i="4"/>
  <c r="BJ104" i="4"/>
  <c r="BI104" i="4"/>
  <c r="BH104" i="4"/>
  <c r="BG104" i="4"/>
  <c r="BE104" i="4"/>
  <c r="BD104" i="4"/>
  <c r="BC104" i="4"/>
  <c r="BB104" i="4"/>
  <c r="AZ104" i="4"/>
  <c r="AY104" i="4"/>
  <c r="AX104" i="4"/>
  <c r="AW104" i="4"/>
  <c r="AU104" i="4"/>
  <c r="AT104" i="4"/>
  <c r="AS104" i="4"/>
  <c r="AR104" i="4"/>
  <c r="AP104" i="4"/>
  <c r="AO104" i="4"/>
  <c r="AN104" i="4"/>
  <c r="AM104" i="4"/>
  <c r="AK104" i="4"/>
  <c r="AJ104" i="4"/>
  <c r="AI104" i="4"/>
  <c r="AH104" i="4"/>
  <c r="AF104" i="4"/>
  <c r="AE104" i="4"/>
  <c r="AD104" i="4"/>
  <c r="AC104" i="4"/>
  <c r="AA104" i="4"/>
  <c r="Z104" i="4"/>
  <c r="Y104" i="4"/>
  <c r="X104" i="4"/>
  <c r="V104" i="4"/>
  <c r="U104" i="4"/>
  <c r="T104" i="4"/>
  <c r="S104" i="4"/>
  <c r="Q104" i="4"/>
  <c r="P104" i="4"/>
  <c r="O104" i="4"/>
  <c r="N104" i="4"/>
  <c r="BT103" i="4"/>
  <c r="BS103" i="4"/>
  <c r="BR103" i="4"/>
  <c r="BQ103" i="4"/>
  <c r="BO103" i="4"/>
  <c r="BN103" i="4"/>
  <c r="BM103" i="4"/>
  <c r="BL103" i="4"/>
  <c r="BJ103" i="4"/>
  <c r="BI103" i="4"/>
  <c r="BH103" i="4"/>
  <c r="BG103" i="4"/>
  <c r="BE103" i="4"/>
  <c r="BD103" i="4"/>
  <c r="BC103" i="4"/>
  <c r="BB103" i="4"/>
  <c r="AZ103" i="4"/>
  <c r="AY103" i="4"/>
  <c r="AX103" i="4"/>
  <c r="AW103" i="4"/>
  <c r="AU103" i="4"/>
  <c r="AT103" i="4"/>
  <c r="AS103" i="4"/>
  <c r="AR103" i="4"/>
  <c r="AP103" i="4"/>
  <c r="AO103" i="4"/>
  <c r="AN103" i="4"/>
  <c r="AM103" i="4"/>
  <c r="AK103" i="4"/>
  <c r="AJ103" i="4"/>
  <c r="AI103" i="4"/>
  <c r="AH103" i="4"/>
  <c r="AF103" i="4"/>
  <c r="AE103" i="4"/>
  <c r="AD103" i="4"/>
  <c r="AC103" i="4"/>
  <c r="AA103" i="4"/>
  <c r="Z103" i="4"/>
  <c r="Y103" i="4"/>
  <c r="X103" i="4"/>
  <c r="V103" i="4"/>
  <c r="U103" i="4"/>
  <c r="T103" i="4"/>
  <c r="S103" i="4"/>
  <c r="Q103" i="4"/>
  <c r="P103" i="4"/>
  <c r="O103" i="4"/>
  <c r="N103" i="4"/>
  <c r="BW102" i="4"/>
  <c r="BT102" i="4"/>
  <c r="BS102" i="4"/>
  <c r="BR102" i="4"/>
  <c r="BQ102" i="4"/>
  <c r="BO102" i="4"/>
  <c r="BN102" i="4"/>
  <c r="BM102" i="4"/>
  <c r="BL102" i="4"/>
  <c r="BJ102" i="4"/>
  <c r="BI102" i="4"/>
  <c r="BH102" i="4"/>
  <c r="BG102" i="4"/>
  <c r="BE102" i="4"/>
  <c r="BD102" i="4"/>
  <c r="BC102" i="4"/>
  <c r="BB102" i="4"/>
  <c r="AZ102" i="4"/>
  <c r="AY102" i="4"/>
  <c r="AX102" i="4"/>
  <c r="AW102" i="4"/>
  <c r="AU102" i="4"/>
  <c r="AT102" i="4"/>
  <c r="AS102" i="4"/>
  <c r="AR102" i="4"/>
  <c r="AP102" i="4"/>
  <c r="AO102" i="4"/>
  <c r="AN102" i="4"/>
  <c r="AM102" i="4"/>
  <c r="AK102" i="4"/>
  <c r="AJ102" i="4"/>
  <c r="AI102" i="4"/>
  <c r="AH102" i="4"/>
  <c r="AF102" i="4"/>
  <c r="AE102" i="4"/>
  <c r="AD102" i="4"/>
  <c r="AC102" i="4"/>
  <c r="AA102" i="4"/>
  <c r="Z102" i="4"/>
  <c r="Y102" i="4"/>
  <c r="X102" i="4"/>
  <c r="V102" i="4"/>
  <c r="U102" i="4"/>
  <c r="T102" i="4"/>
  <c r="S102" i="4"/>
  <c r="Q102" i="4"/>
  <c r="P102" i="4"/>
  <c r="O102" i="4"/>
  <c r="N102" i="4"/>
  <c r="BW101" i="4"/>
  <c r="BT101" i="4"/>
  <c r="BS101" i="4"/>
  <c r="BR101" i="4"/>
  <c r="BQ101" i="4"/>
  <c r="BO101" i="4"/>
  <c r="BN101" i="4"/>
  <c r="BM101" i="4"/>
  <c r="BL101" i="4"/>
  <c r="BJ101" i="4"/>
  <c r="BI101" i="4"/>
  <c r="BH101" i="4"/>
  <c r="BG101" i="4"/>
  <c r="BE101" i="4"/>
  <c r="BD101" i="4"/>
  <c r="BC101" i="4"/>
  <c r="BB101" i="4"/>
  <c r="AZ101" i="4"/>
  <c r="AY101" i="4"/>
  <c r="AX101" i="4"/>
  <c r="AW101" i="4"/>
  <c r="AU101" i="4"/>
  <c r="AT101" i="4"/>
  <c r="AS101" i="4"/>
  <c r="AR101" i="4"/>
  <c r="AP101" i="4"/>
  <c r="AO101" i="4"/>
  <c r="AN101" i="4"/>
  <c r="AM101" i="4"/>
  <c r="AK101" i="4"/>
  <c r="AJ101" i="4"/>
  <c r="AI101" i="4"/>
  <c r="AH101" i="4"/>
  <c r="AF101" i="4"/>
  <c r="AE101" i="4"/>
  <c r="AD101" i="4"/>
  <c r="AC101" i="4"/>
  <c r="AA101" i="4"/>
  <c r="Z101" i="4"/>
  <c r="Y101" i="4"/>
  <c r="X101" i="4"/>
  <c r="V101" i="4"/>
  <c r="U101" i="4"/>
  <c r="T101" i="4"/>
  <c r="S101" i="4"/>
  <c r="Q101" i="4"/>
  <c r="P101" i="4"/>
  <c r="O101" i="4"/>
  <c r="N101" i="4"/>
  <c r="BW100" i="4"/>
  <c r="BU100" i="4"/>
  <c r="BT100" i="4"/>
  <c r="BS100" i="4"/>
  <c r="BR100" i="4"/>
  <c r="BQ100" i="4"/>
  <c r="BP100" i="4"/>
  <c r="BO100" i="4"/>
  <c r="BN100" i="4"/>
  <c r="BM100" i="4"/>
  <c r="BL100" i="4"/>
  <c r="BK100" i="4"/>
  <c r="BJ100" i="4"/>
  <c r="BI100" i="4"/>
  <c r="BH100" i="4"/>
  <c r="BG100" i="4"/>
  <c r="BF100" i="4"/>
  <c r="BE100" i="4"/>
  <c r="BD100" i="4"/>
  <c r="BC100" i="4"/>
  <c r="BB100" i="4"/>
  <c r="BA100" i="4"/>
  <c r="AZ100" i="4"/>
  <c r="AY100" i="4"/>
  <c r="AX100" i="4"/>
  <c r="AW100" i="4"/>
  <c r="AV100" i="4"/>
  <c r="AU100" i="4"/>
  <c r="AT100" i="4"/>
  <c r="AS100" i="4"/>
  <c r="AR100" i="4"/>
  <c r="AQ100" i="4"/>
  <c r="AP100" i="4"/>
  <c r="AO100" i="4"/>
  <c r="AN100" i="4"/>
  <c r="AM100" i="4"/>
  <c r="AL100" i="4"/>
  <c r="AK100" i="4"/>
  <c r="AJ100" i="4"/>
  <c r="AI100" i="4"/>
  <c r="AH100" i="4"/>
  <c r="AG100" i="4"/>
  <c r="AF100" i="4"/>
  <c r="AE100" i="4"/>
  <c r="AD100" i="4"/>
  <c r="AC100" i="4"/>
  <c r="AB100" i="4"/>
  <c r="AA100" i="4"/>
  <c r="Z100" i="4"/>
  <c r="Y100" i="4"/>
  <c r="X100" i="4"/>
  <c r="W100" i="4"/>
  <c r="V100" i="4"/>
  <c r="U100" i="4"/>
  <c r="T100" i="4"/>
  <c r="S100" i="4"/>
  <c r="R100" i="4"/>
  <c r="Q100" i="4"/>
  <c r="P100" i="4"/>
  <c r="O100" i="4"/>
  <c r="N100" i="4"/>
  <c r="M100" i="4"/>
  <c r="BT99" i="4"/>
  <c r="BS99" i="4"/>
  <c r="BR99" i="4"/>
  <c r="BQ99" i="4"/>
  <c r="BO99" i="4"/>
  <c r="BN99" i="4"/>
  <c r="BM99" i="4"/>
  <c r="BL99" i="4"/>
  <c r="BJ99" i="4"/>
  <c r="BI99" i="4"/>
  <c r="BH99" i="4"/>
  <c r="BG99" i="4"/>
  <c r="BE99" i="4"/>
  <c r="BD99" i="4"/>
  <c r="BC99" i="4"/>
  <c r="BB99" i="4"/>
  <c r="AZ99" i="4"/>
  <c r="AY99" i="4"/>
  <c r="AX99" i="4"/>
  <c r="AW99" i="4"/>
  <c r="AU99" i="4"/>
  <c r="AT99" i="4"/>
  <c r="AS99" i="4"/>
  <c r="AR99" i="4"/>
  <c r="AP99" i="4"/>
  <c r="AO99" i="4"/>
  <c r="AN99" i="4"/>
  <c r="AM99" i="4"/>
  <c r="AK99" i="4"/>
  <c r="AJ99" i="4"/>
  <c r="AI99" i="4"/>
  <c r="AH99" i="4"/>
  <c r="AF99" i="4"/>
  <c r="AE99" i="4"/>
  <c r="AD99" i="4"/>
  <c r="AC99" i="4"/>
  <c r="AA99" i="4"/>
  <c r="Z99" i="4"/>
  <c r="Y99" i="4"/>
  <c r="X99" i="4"/>
  <c r="V99" i="4"/>
  <c r="U99" i="4"/>
  <c r="T99" i="4"/>
  <c r="S99" i="4"/>
  <c r="Q99" i="4"/>
  <c r="P99" i="4"/>
  <c r="O99" i="4"/>
  <c r="N99" i="4"/>
  <c r="BT98" i="4"/>
  <c r="BS98" i="4"/>
  <c r="BR98" i="4"/>
  <c r="BQ98" i="4"/>
  <c r="BO98" i="4"/>
  <c r="BN98" i="4"/>
  <c r="BM98" i="4"/>
  <c r="BL98" i="4"/>
  <c r="BJ98" i="4"/>
  <c r="BI98" i="4"/>
  <c r="BH98" i="4"/>
  <c r="BG98" i="4"/>
  <c r="BE98" i="4"/>
  <c r="BD98" i="4"/>
  <c r="BC98" i="4"/>
  <c r="BB98" i="4"/>
  <c r="AZ98" i="4"/>
  <c r="AY98" i="4"/>
  <c r="AX98" i="4"/>
  <c r="AW98" i="4"/>
  <c r="AU98" i="4"/>
  <c r="AT98" i="4"/>
  <c r="AS98" i="4"/>
  <c r="AR98" i="4"/>
  <c r="AP98" i="4"/>
  <c r="AO98" i="4"/>
  <c r="AN98" i="4"/>
  <c r="AM98" i="4"/>
  <c r="AK98" i="4"/>
  <c r="AJ98" i="4"/>
  <c r="AI98" i="4"/>
  <c r="AH98" i="4"/>
  <c r="AF98" i="4"/>
  <c r="AE98" i="4"/>
  <c r="AD98" i="4"/>
  <c r="AC98" i="4"/>
  <c r="AA98" i="4"/>
  <c r="Z98" i="4"/>
  <c r="Y98" i="4"/>
  <c r="X98" i="4"/>
  <c r="V98" i="4"/>
  <c r="U98" i="4"/>
  <c r="T98" i="4"/>
  <c r="S98" i="4"/>
  <c r="Q98" i="4"/>
  <c r="P98" i="4"/>
  <c r="O98" i="4"/>
  <c r="N98" i="4"/>
  <c r="BW97" i="4"/>
  <c r="BU97" i="4"/>
  <c r="BT97" i="4"/>
  <c r="BS97" i="4"/>
  <c r="BR97" i="4"/>
  <c r="BQ97" i="4"/>
  <c r="BP97" i="4"/>
  <c r="BO97" i="4"/>
  <c r="BN97" i="4"/>
  <c r="BM97" i="4"/>
  <c r="BL97" i="4"/>
  <c r="BK97" i="4"/>
  <c r="BJ97" i="4"/>
  <c r="BI97" i="4"/>
  <c r="BH97" i="4"/>
  <c r="BG97" i="4"/>
  <c r="BF97" i="4"/>
  <c r="BE97" i="4"/>
  <c r="BD97" i="4"/>
  <c r="BC97" i="4"/>
  <c r="BB97" i="4"/>
  <c r="BA97" i="4"/>
  <c r="AZ97" i="4"/>
  <c r="AY97" i="4"/>
  <c r="AX97" i="4"/>
  <c r="AW97" i="4"/>
  <c r="AV97" i="4"/>
  <c r="AU97" i="4"/>
  <c r="AT97" i="4"/>
  <c r="AS97" i="4"/>
  <c r="AR97" i="4"/>
  <c r="AQ97" i="4"/>
  <c r="AP97" i="4"/>
  <c r="AO97" i="4"/>
  <c r="AN97" i="4"/>
  <c r="AM97" i="4"/>
  <c r="AL97" i="4"/>
  <c r="AK97" i="4"/>
  <c r="AJ97" i="4"/>
  <c r="AI97" i="4"/>
  <c r="AH97" i="4"/>
  <c r="AG97" i="4"/>
  <c r="AF97" i="4"/>
  <c r="AE97" i="4"/>
  <c r="AD97" i="4"/>
  <c r="AC97" i="4"/>
  <c r="AB97" i="4"/>
  <c r="AA97" i="4"/>
  <c r="Z97" i="4"/>
  <c r="Y97" i="4"/>
  <c r="X97" i="4"/>
  <c r="W97" i="4"/>
  <c r="V97" i="4"/>
  <c r="U97" i="4"/>
  <c r="T97" i="4"/>
  <c r="S97" i="4"/>
  <c r="R97" i="4"/>
  <c r="Q97" i="4"/>
  <c r="P97" i="4"/>
  <c r="O97" i="4"/>
  <c r="N97" i="4"/>
  <c r="M97" i="4"/>
  <c r="BW96" i="4"/>
  <c r="BT96" i="4"/>
  <c r="BS96" i="4"/>
  <c r="BR96" i="4"/>
  <c r="BQ96" i="4"/>
  <c r="BO96" i="4"/>
  <c r="BN96" i="4"/>
  <c r="BM96" i="4"/>
  <c r="BL96" i="4"/>
  <c r="BJ96" i="4"/>
  <c r="BI96" i="4"/>
  <c r="BH96" i="4"/>
  <c r="BG96" i="4"/>
  <c r="BE96" i="4"/>
  <c r="BD96" i="4"/>
  <c r="BC96" i="4"/>
  <c r="BB96" i="4"/>
  <c r="AZ96" i="4"/>
  <c r="AY96" i="4"/>
  <c r="AX96" i="4"/>
  <c r="AW96" i="4"/>
  <c r="AU96" i="4"/>
  <c r="AT96" i="4"/>
  <c r="AS96" i="4"/>
  <c r="AR96" i="4"/>
  <c r="AP96" i="4"/>
  <c r="AO96" i="4"/>
  <c r="AN96" i="4"/>
  <c r="AM96" i="4"/>
  <c r="AK96" i="4"/>
  <c r="AJ96" i="4"/>
  <c r="AI96" i="4"/>
  <c r="AH96" i="4"/>
  <c r="AF96" i="4"/>
  <c r="AE96" i="4"/>
  <c r="AD96" i="4"/>
  <c r="AC96" i="4"/>
  <c r="AA96" i="4"/>
  <c r="Z96" i="4"/>
  <c r="Y96" i="4"/>
  <c r="X96" i="4"/>
  <c r="V96" i="4"/>
  <c r="U96" i="4"/>
  <c r="T96" i="4"/>
  <c r="S96" i="4"/>
  <c r="Q96" i="4"/>
  <c r="P96" i="4"/>
  <c r="O96" i="4"/>
  <c r="N96" i="4"/>
  <c r="BT95" i="4"/>
  <c r="BS95" i="4"/>
  <c r="BR95" i="4"/>
  <c r="BQ95" i="4"/>
  <c r="BO95" i="4"/>
  <c r="BN95" i="4"/>
  <c r="BM95" i="4"/>
  <c r="BL95" i="4"/>
  <c r="BJ95" i="4"/>
  <c r="BI95" i="4"/>
  <c r="BH95" i="4"/>
  <c r="BG95" i="4"/>
  <c r="BE95" i="4"/>
  <c r="BD95" i="4"/>
  <c r="BC95" i="4"/>
  <c r="BB95" i="4"/>
  <c r="AZ95" i="4"/>
  <c r="AY95" i="4"/>
  <c r="AX95" i="4"/>
  <c r="AW95" i="4"/>
  <c r="AU95" i="4"/>
  <c r="AT95" i="4"/>
  <c r="AS95" i="4"/>
  <c r="AR95" i="4"/>
  <c r="AP95" i="4"/>
  <c r="AO95" i="4"/>
  <c r="AN95" i="4"/>
  <c r="AM95" i="4"/>
  <c r="AK95" i="4"/>
  <c r="AJ95" i="4"/>
  <c r="AI95" i="4"/>
  <c r="AH95" i="4"/>
  <c r="AF95" i="4"/>
  <c r="AE95" i="4"/>
  <c r="AD95" i="4"/>
  <c r="AC95" i="4"/>
  <c r="AA95" i="4"/>
  <c r="Z95" i="4"/>
  <c r="Y95" i="4"/>
  <c r="X95" i="4"/>
  <c r="V95" i="4"/>
  <c r="U95" i="4"/>
  <c r="T95" i="4"/>
  <c r="S95" i="4"/>
  <c r="Q95" i="4"/>
  <c r="P95" i="4"/>
  <c r="O95" i="4"/>
  <c r="N95" i="4"/>
  <c r="BT94" i="4"/>
  <c r="BS94" i="4"/>
  <c r="BR94" i="4"/>
  <c r="BQ94" i="4"/>
  <c r="BO94" i="4"/>
  <c r="BN94" i="4"/>
  <c r="BM94" i="4"/>
  <c r="BL94" i="4"/>
  <c r="BJ94" i="4"/>
  <c r="BI94" i="4"/>
  <c r="BH94" i="4"/>
  <c r="BG94" i="4"/>
  <c r="BE94" i="4"/>
  <c r="BD94" i="4"/>
  <c r="BC94" i="4"/>
  <c r="BB94" i="4"/>
  <c r="AZ94" i="4"/>
  <c r="AY94" i="4"/>
  <c r="AX94" i="4"/>
  <c r="AW94" i="4"/>
  <c r="AU94" i="4"/>
  <c r="AT94" i="4"/>
  <c r="AS94" i="4"/>
  <c r="AR94" i="4"/>
  <c r="AP94" i="4"/>
  <c r="AO94" i="4"/>
  <c r="AN94" i="4"/>
  <c r="AM94" i="4"/>
  <c r="AK94" i="4"/>
  <c r="AJ94" i="4"/>
  <c r="AI94" i="4"/>
  <c r="AH94" i="4"/>
  <c r="AF94" i="4"/>
  <c r="AE94" i="4"/>
  <c r="AD94" i="4"/>
  <c r="AC94" i="4"/>
  <c r="AA94" i="4"/>
  <c r="Z94" i="4"/>
  <c r="Y94" i="4"/>
  <c r="X94" i="4"/>
  <c r="V94" i="4"/>
  <c r="U94" i="4"/>
  <c r="T94" i="4"/>
  <c r="S94" i="4"/>
  <c r="Q94" i="4"/>
  <c r="P94" i="4"/>
  <c r="O94" i="4"/>
  <c r="N94" i="4"/>
  <c r="BT93" i="4"/>
  <c r="BS93" i="4"/>
  <c r="BR93" i="4"/>
  <c r="BQ93" i="4"/>
  <c r="BO93" i="4"/>
  <c r="BN93" i="4"/>
  <c r="BM93" i="4"/>
  <c r="BL93" i="4"/>
  <c r="BJ93" i="4"/>
  <c r="BI93" i="4"/>
  <c r="BH93" i="4"/>
  <c r="BG93" i="4"/>
  <c r="BE93" i="4"/>
  <c r="BD93" i="4"/>
  <c r="BC93" i="4"/>
  <c r="BB93" i="4"/>
  <c r="AZ93" i="4"/>
  <c r="AY93" i="4"/>
  <c r="AX93" i="4"/>
  <c r="AW93" i="4"/>
  <c r="AU93" i="4"/>
  <c r="AT93" i="4"/>
  <c r="AS93" i="4"/>
  <c r="AR93" i="4"/>
  <c r="AP93" i="4"/>
  <c r="AO93" i="4"/>
  <c r="AN93" i="4"/>
  <c r="AM93" i="4"/>
  <c r="AK93" i="4"/>
  <c r="AJ93" i="4"/>
  <c r="AI93" i="4"/>
  <c r="AH93" i="4"/>
  <c r="AF93" i="4"/>
  <c r="AE93" i="4"/>
  <c r="AD93" i="4"/>
  <c r="AC93" i="4"/>
  <c r="AA93" i="4"/>
  <c r="Z93" i="4"/>
  <c r="Y93" i="4"/>
  <c r="X93" i="4"/>
  <c r="V93" i="4"/>
  <c r="U93" i="4"/>
  <c r="T93" i="4"/>
  <c r="S93" i="4"/>
  <c r="Q93" i="4"/>
  <c r="P93" i="4"/>
  <c r="O93" i="4"/>
  <c r="N93" i="4"/>
  <c r="BU92" i="4"/>
  <c r="BT92" i="4"/>
  <c r="BS92" i="4"/>
  <c r="BR92" i="4"/>
  <c r="BQ92" i="4"/>
  <c r="BP92" i="4"/>
  <c r="BO92" i="4"/>
  <c r="BN92" i="4"/>
  <c r="BM92" i="4"/>
  <c r="BL92" i="4"/>
  <c r="BK92" i="4"/>
  <c r="BJ92" i="4"/>
  <c r="BI92" i="4"/>
  <c r="BH92" i="4"/>
  <c r="BG92" i="4"/>
  <c r="BF92" i="4"/>
  <c r="BE92" i="4"/>
  <c r="BD92" i="4"/>
  <c r="BC92" i="4"/>
  <c r="BB92" i="4"/>
  <c r="BA92" i="4"/>
  <c r="AZ92" i="4"/>
  <c r="AY92" i="4"/>
  <c r="AX92" i="4"/>
  <c r="AW92" i="4"/>
  <c r="AV92" i="4"/>
  <c r="AU92" i="4"/>
  <c r="AT92" i="4"/>
  <c r="AS92" i="4"/>
  <c r="AR92" i="4"/>
  <c r="AQ92" i="4"/>
  <c r="AP92" i="4"/>
  <c r="AO92" i="4"/>
  <c r="AN92" i="4"/>
  <c r="AM92" i="4"/>
  <c r="AL92" i="4"/>
  <c r="AK92" i="4"/>
  <c r="AJ92" i="4"/>
  <c r="AI92" i="4"/>
  <c r="AH92" i="4"/>
  <c r="AG92" i="4"/>
  <c r="AF92" i="4"/>
  <c r="AE92" i="4"/>
  <c r="AD92" i="4"/>
  <c r="AC92" i="4"/>
  <c r="AB92" i="4"/>
  <c r="AA92" i="4"/>
  <c r="Z92" i="4"/>
  <c r="Y92" i="4"/>
  <c r="X92" i="4"/>
  <c r="W92" i="4"/>
  <c r="V92" i="4"/>
  <c r="U92" i="4"/>
  <c r="T92" i="4"/>
  <c r="S92" i="4"/>
  <c r="R92" i="4"/>
  <c r="Q92" i="4"/>
  <c r="P92" i="4"/>
  <c r="O92" i="4"/>
  <c r="N92" i="4"/>
  <c r="M92" i="4"/>
  <c r="BT91" i="4"/>
  <c r="BS91" i="4"/>
  <c r="BR91" i="4"/>
  <c r="BQ91" i="4"/>
  <c r="BP91" i="4"/>
  <c r="BO91" i="4"/>
  <c r="BN91" i="4"/>
  <c r="BM91" i="4"/>
  <c r="BL91" i="4"/>
  <c r="BK91" i="4"/>
  <c r="BJ91" i="4"/>
  <c r="BI91" i="4"/>
  <c r="BH91" i="4"/>
  <c r="BG91" i="4"/>
  <c r="BF91" i="4"/>
  <c r="BE91" i="4"/>
  <c r="BD91" i="4"/>
  <c r="BC91" i="4"/>
  <c r="BB91" i="4"/>
  <c r="BA91" i="4"/>
  <c r="AZ91" i="4"/>
  <c r="AY91" i="4"/>
  <c r="AX91" i="4"/>
  <c r="AW91" i="4"/>
  <c r="AV91" i="4"/>
  <c r="AU91" i="4"/>
  <c r="AT91" i="4"/>
  <c r="AS91" i="4"/>
  <c r="AR91" i="4"/>
  <c r="AQ91" i="4"/>
  <c r="AP91" i="4"/>
  <c r="AO91" i="4"/>
  <c r="AN91" i="4"/>
  <c r="AM91" i="4"/>
  <c r="AL91" i="4"/>
  <c r="AK91" i="4"/>
  <c r="AJ91" i="4"/>
  <c r="AI91" i="4"/>
  <c r="AH91" i="4"/>
  <c r="AG91" i="4"/>
  <c r="AF91" i="4"/>
  <c r="AE91" i="4"/>
  <c r="AD91" i="4"/>
  <c r="AC91" i="4"/>
  <c r="AB91" i="4"/>
  <c r="AA91" i="4"/>
  <c r="Z91" i="4"/>
  <c r="Y91" i="4"/>
  <c r="X91" i="4"/>
  <c r="W91" i="4"/>
  <c r="V91" i="4"/>
  <c r="U91" i="4"/>
  <c r="T91" i="4"/>
  <c r="S91" i="4"/>
  <c r="R91" i="4"/>
  <c r="Q91" i="4"/>
  <c r="P91" i="4"/>
  <c r="O91" i="4"/>
  <c r="N91" i="4"/>
  <c r="M91" i="4"/>
  <c r="BU90" i="4"/>
  <c r="BT90" i="4"/>
  <c r="BS90" i="4"/>
  <c r="BR90" i="4"/>
  <c r="BQ90" i="4"/>
  <c r="BP90" i="4"/>
  <c r="BO90" i="4"/>
  <c r="BN90" i="4"/>
  <c r="BM90" i="4"/>
  <c r="BL90" i="4"/>
  <c r="BK90" i="4"/>
  <c r="BJ90" i="4"/>
  <c r="BI90" i="4"/>
  <c r="BH90" i="4"/>
  <c r="BG90" i="4"/>
  <c r="BF90" i="4"/>
  <c r="BE90" i="4"/>
  <c r="BD90" i="4"/>
  <c r="BC90" i="4"/>
  <c r="BB90" i="4"/>
  <c r="BA90" i="4"/>
  <c r="AZ90" i="4"/>
  <c r="AY90" i="4"/>
  <c r="AX90" i="4"/>
  <c r="AW90" i="4"/>
  <c r="AV90" i="4"/>
  <c r="AU90" i="4"/>
  <c r="AT90" i="4"/>
  <c r="AS90" i="4"/>
  <c r="AR90" i="4"/>
  <c r="AQ90" i="4"/>
  <c r="AP90" i="4"/>
  <c r="AO90" i="4"/>
  <c r="AN90" i="4"/>
  <c r="AM90" i="4"/>
  <c r="AL90" i="4"/>
  <c r="AK90" i="4"/>
  <c r="AJ90" i="4"/>
  <c r="AI90" i="4"/>
  <c r="AH90" i="4"/>
  <c r="AG90" i="4"/>
  <c r="AF90" i="4"/>
  <c r="AE90" i="4"/>
  <c r="AD90" i="4"/>
  <c r="AC90" i="4"/>
  <c r="AB90" i="4"/>
  <c r="AA90" i="4"/>
  <c r="Z90" i="4"/>
  <c r="Y90" i="4"/>
  <c r="X90" i="4"/>
  <c r="W90" i="4"/>
  <c r="V90" i="4"/>
  <c r="U90" i="4"/>
  <c r="T90" i="4"/>
  <c r="S90" i="4"/>
  <c r="R90" i="4"/>
  <c r="Q90" i="4"/>
  <c r="P90" i="4"/>
  <c r="O90" i="4"/>
  <c r="N90" i="4"/>
  <c r="M90" i="4"/>
  <c r="BT89" i="4"/>
  <c r="BS89" i="4"/>
  <c r="BR89" i="4"/>
  <c r="BQ89" i="4"/>
  <c r="BP89" i="4"/>
  <c r="BO89" i="4"/>
  <c r="BN89" i="4"/>
  <c r="BM89" i="4"/>
  <c r="BL89" i="4"/>
  <c r="BK89" i="4"/>
  <c r="BJ89" i="4"/>
  <c r="BI89" i="4"/>
  <c r="BH89" i="4"/>
  <c r="BG89" i="4"/>
  <c r="BF89" i="4"/>
  <c r="BE89" i="4"/>
  <c r="BD89" i="4"/>
  <c r="BC89" i="4"/>
  <c r="BB89" i="4"/>
  <c r="BA89" i="4"/>
  <c r="AZ89" i="4"/>
  <c r="AY89" i="4"/>
  <c r="AX89" i="4"/>
  <c r="AW89" i="4"/>
  <c r="AV89" i="4"/>
  <c r="AU89" i="4"/>
  <c r="AT89" i="4"/>
  <c r="AS89" i="4"/>
  <c r="AR89" i="4"/>
  <c r="AQ89" i="4"/>
  <c r="AP89" i="4"/>
  <c r="AO89" i="4"/>
  <c r="AN89" i="4"/>
  <c r="AM89" i="4"/>
  <c r="AL89" i="4"/>
  <c r="AK89" i="4"/>
  <c r="AJ89" i="4"/>
  <c r="AI89" i="4"/>
  <c r="AH89" i="4"/>
  <c r="AG89" i="4"/>
  <c r="AF89" i="4"/>
  <c r="AE89" i="4"/>
  <c r="AD89" i="4"/>
  <c r="AC89" i="4"/>
  <c r="AB89" i="4"/>
  <c r="AA89" i="4"/>
  <c r="Z89" i="4"/>
  <c r="Y89" i="4"/>
  <c r="X89" i="4"/>
  <c r="W89" i="4"/>
  <c r="V89" i="4"/>
  <c r="U89" i="4"/>
  <c r="T89" i="4"/>
  <c r="S89" i="4"/>
  <c r="R89" i="4"/>
  <c r="Q89" i="4"/>
  <c r="P89" i="4"/>
  <c r="O89" i="4"/>
  <c r="N89" i="4"/>
  <c r="M89" i="4"/>
  <c r="BT88" i="4"/>
  <c r="BS88" i="4"/>
  <c r="BR88" i="4"/>
  <c r="BQ88" i="4"/>
  <c r="BP88" i="4"/>
  <c r="BO88" i="4"/>
  <c r="BN88" i="4"/>
  <c r="BM88" i="4"/>
  <c r="BL88" i="4"/>
  <c r="BK88" i="4"/>
  <c r="BJ88" i="4"/>
  <c r="BI88" i="4"/>
  <c r="BH88" i="4"/>
  <c r="BG88" i="4"/>
  <c r="BF88" i="4"/>
  <c r="BE88" i="4"/>
  <c r="BD88" i="4"/>
  <c r="BC88" i="4"/>
  <c r="BB88" i="4"/>
  <c r="BA88" i="4"/>
  <c r="AZ88" i="4"/>
  <c r="AY88" i="4"/>
  <c r="AX88" i="4"/>
  <c r="AW88" i="4"/>
  <c r="AV88" i="4"/>
  <c r="AU88" i="4"/>
  <c r="AT88" i="4"/>
  <c r="AS88" i="4"/>
  <c r="AR88" i="4"/>
  <c r="AQ88" i="4"/>
  <c r="AP88" i="4"/>
  <c r="AO88" i="4"/>
  <c r="AN88" i="4"/>
  <c r="AM88" i="4"/>
  <c r="AL88" i="4"/>
  <c r="AK88" i="4"/>
  <c r="AJ88" i="4"/>
  <c r="AI88" i="4"/>
  <c r="AH88" i="4"/>
  <c r="AG88" i="4"/>
  <c r="AF88" i="4"/>
  <c r="AE88" i="4"/>
  <c r="AD88" i="4"/>
  <c r="AC88" i="4"/>
  <c r="AB88" i="4"/>
  <c r="AA88" i="4"/>
  <c r="Z88" i="4"/>
  <c r="Y88" i="4"/>
  <c r="X88" i="4"/>
  <c r="W88" i="4"/>
  <c r="V88" i="4"/>
  <c r="U88" i="4"/>
  <c r="T88" i="4"/>
  <c r="S88" i="4"/>
  <c r="R88" i="4"/>
  <c r="Q88" i="4"/>
  <c r="P88" i="4"/>
  <c r="O88" i="4"/>
  <c r="N88" i="4"/>
  <c r="M88" i="4"/>
  <c r="BT87" i="4"/>
  <c r="BS87" i="4"/>
  <c r="BR87" i="4"/>
  <c r="BQ87" i="4"/>
  <c r="BP87" i="4"/>
  <c r="BO87" i="4"/>
  <c r="BN87" i="4"/>
  <c r="BM87" i="4"/>
  <c r="BL87" i="4"/>
  <c r="BK87" i="4"/>
  <c r="BJ87" i="4"/>
  <c r="BI87" i="4"/>
  <c r="BH87" i="4"/>
  <c r="BG87" i="4"/>
  <c r="BF87" i="4"/>
  <c r="BE87" i="4"/>
  <c r="BD87" i="4"/>
  <c r="BC87" i="4"/>
  <c r="BB87" i="4"/>
  <c r="BA87" i="4"/>
  <c r="AZ87" i="4"/>
  <c r="AY87" i="4"/>
  <c r="AX87" i="4"/>
  <c r="AW87" i="4"/>
  <c r="AV87" i="4"/>
  <c r="AU87" i="4"/>
  <c r="AT87" i="4"/>
  <c r="AS87" i="4"/>
  <c r="AR87" i="4"/>
  <c r="AQ87" i="4"/>
  <c r="AP87" i="4"/>
  <c r="AO87" i="4"/>
  <c r="AN87" i="4"/>
  <c r="AM87" i="4"/>
  <c r="AL87" i="4"/>
  <c r="AK87" i="4"/>
  <c r="AJ87" i="4"/>
  <c r="AI87" i="4"/>
  <c r="AH87" i="4"/>
  <c r="AG87" i="4"/>
  <c r="AF87" i="4"/>
  <c r="AE87" i="4"/>
  <c r="AD87" i="4"/>
  <c r="AC87" i="4"/>
  <c r="AB87" i="4"/>
  <c r="AA87" i="4"/>
  <c r="Z87" i="4"/>
  <c r="Y87" i="4"/>
  <c r="X87" i="4"/>
  <c r="W87" i="4"/>
  <c r="V87" i="4"/>
  <c r="U87" i="4"/>
  <c r="T87" i="4"/>
  <c r="S87" i="4"/>
  <c r="R87" i="4"/>
  <c r="Q87" i="4"/>
  <c r="P87" i="4"/>
  <c r="O87" i="4"/>
  <c r="N87" i="4"/>
  <c r="M87" i="4"/>
  <c r="BT86" i="4"/>
  <c r="BS86" i="4"/>
  <c r="BR86" i="4"/>
  <c r="BQ86" i="4"/>
  <c r="BP86" i="4"/>
  <c r="BO86" i="4"/>
  <c r="BN86" i="4"/>
  <c r="BM86" i="4"/>
  <c r="BL86" i="4"/>
  <c r="BK86" i="4"/>
  <c r="BJ86" i="4"/>
  <c r="BI86" i="4"/>
  <c r="BH86" i="4"/>
  <c r="BG86" i="4"/>
  <c r="BF86" i="4"/>
  <c r="BE86" i="4"/>
  <c r="BD86" i="4"/>
  <c r="BC86" i="4"/>
  <c r="BB86" i="4"/>
  <c r="BA86" i="4"/>
  <c r="AZ86" i="4"/>
  <c r="AY86" i="4"/>
  <c r="AX86" i="4"/>
  <c r="AW86" i="4"/>
  <c r="AV86" i="4"/>
  <c r="AU86" i="4"/>
  <c r="AT86" i="4"/>
  <c r="AS86" i="4"/>
  <c r="AR86" i="4"/>
  <c r="AQ86" i="4"/>
  <c r="AP86" i="4"/>
  <c r="AO86" i="4"/>
  <c r="AN86" i="4"/>
  <c r="AM86" i="4"/>
  <c r="AL86" i="4"/>
  <c r="AK86" i="4"/>
  <c r="AJ86" i="4"/>
  <c r="AI86" i="4"/>
  <c r="AH86" i="4"/>
  <c r="AG86" i="4"/>
  <c r="AF86" i="4"/>
  <c r="AE86" i="4"/>
  <c r="AD86" i="4"/>
  <c r="AC86" i="4"/>
  <c r="AB86" i="4"/>
  <c r="AA86" i="4"/>
  <c r="Z86" i="4"/>
  <c r="Y86" i="4"/>
  <c r="X86" i="4"/>
  <c r="W86" i="4"/>
  <c r="V86" i="4"/>
  <c r="U86" i="4"/>
  <c r="T86" i="4"/>
  <c r="S86" i="4"/>
  <c r="R86" i="4"/>
  <c r="Q86" i="4"/>
  <c r="P86" i="4"/>
  <c r="O86" i="4"/>
  <c r="N86" i="4"/>
  <c r="M86" i="4"/>
  <c r="BT85" i="4"/>
  <c r="BS85" i="4"/>
  <c r="BR85" i="4"/>
  <c r="BQ85" i="4"/>
  <c r="BP85" i="4"/>
  <c r="BO85" i="4"/>
  <c r="BN85" i="4"/>
  <c r="BM85" i="4"/>
  <c r="BL85" i="4"/>
  <c r="BK85" i="4"/>
  <c r="BJ85" i="4"/>
  <c r="BI85" i="4"/>
  <c r="BH85" i="4"/>
  <c r="BG85" i="4"/>
  <c r="BF85" i="4"/>
  <c r="BE85" i="4"/>
  <c r="BD85" i="4"/>
  <c r="BC85" i="4"/>
  <c r="BB85" i="4"/>
  <c r="BA85" i="4"/>
  <c r="AZ85" i="4"/>
  <c r="AY85" i="4"/>
  <c r="AX85" i="4"/>
  <c r="AW85" i="4"/>
  <c r="AV85" i="4"/>
  <c r="AU85" i="4"/>
  <c r="AT85" i="4"/>
  <c r="AS85" i="4"/>
  <c r="AR85" i="4"/>
  <c r="AQ85" i="4"/>
  <c r="AP85" i="4"/>
  <c r="AO85" i="4"/>
  <c r="AN85" i="4"/>
  <c r="AM85" i="4"/>
  <c r="AL85" i="4"/>
  <c r="AK85" i="4"/>
  <c r="AJ85" i="4"/>
  <c r="AI85" i="4"/>
  <c r="AH85" i="4"/>
  <c r="AG85" i="4"/>
  <c r="AF85" i="4"/>
  <c r="AE85" i="4"/>
  <c r="AD85" i="4"/>
  <c r="AC85" i="4"/>
  <c r="AB85" i="4"/>
  <c r="AA85" i="4"/>
  <c r="Z85" i="4"/>
  <c r="Y85" i="4"/>
  <c r="X85" i="4"/>
  <c r="W85" i="4"/>
  <c r="V85" i="4"/>
  <c r="U85" i="4"/>
  <c r="T85" i="4"/>
  <c r="S85" i="4"/>
  <c r="R85" i="4"/>
  <c r="Q85" i="4"/>
  <c r="P85" i="4"/>
  <c r="O85" i="4"/>
  <c r="N85" i="4"/>
  <c r="M85" i="4"/>
  <c r="BT84" i="4"/>
  <c r="BS84" i="4"/>
  <c r="BR84" i="4"/>
  <c r="BQ84" i="4"/>
  <c r="BO84" i="4"/>
  <c r="BN84" i="4"/>
  <c r="BM84" i="4"/>
  <c r="BL84" i="4"/>
  <c r="BJ84" i="4"/>
  <c r="BI84" i="4"/>
  <c r="BH84" i="4"/>
  <c r="BG84" i="4"/>
  <c r="BE84" i="4"/>
  <c r="BD84" i="4"/>
  <c r="BC84" i="4"/>
  <c r="BB84" i="4"/>
  <c r="AZ84" i="4"/>
  <c r="AY84" i="4"/>
  <c r="AX84" i="4"/>
  <c r="AW84" i="4"/>
  <c r="AU84" i="4"/>
  <c r="AT84" i="4"/>
  <c r="AS84" i="4"/>
  <c r="AR84" i="4"/>
  <c r="AP84" i="4"/>
  <c r="AO84" i="4"/>
  <c r="AN84" i="4"/>
  <c r="AM84" i="4"/>
  <c r="AK84" i="4"/>
  <c r="AJ84" i="4"/>
  <c r="AI84" i="4"/>
  <c r="AH84" i="4"/>
  <c r="AF84" i="4"/>
  <c r="AE84" i="4"/>
  <c r="AD84" i="4"/>
  <c r="AC84" i="4"/>
  <c r="AA84" i="4"/>
  <c r="Z84" i="4"/>
  <c r="Y84" i="4"/>
  <c r="X84" i="4"/>
  <c r="V84" i="4"/>
  <c r="U84" i="4"/>
  <c r="T84" i="4"/>
  <c r="S84" i="4"/>
  <c r="Q84" i="4"/>
  <c r="P84" i="4"/>
  <c r="O84" i="4"/>
  <c r="N84" i="4"/>
  <c r="BT83" i="4"/>
  <c r="BS83" i="4"/>
  <c r="BR83" i="4"/>
  <c r="BQ83" i="4"/>
  <c r="BO83" i="4"/>
  <c r="BN83" i="4"/>
  <c r="BM83" i="4"/>
  <c r="BL83" i="4"/>
  <c r="BJ83" i="4"/>
  <c r="BI83" i="4"/>
  <c r="BH83" i="4"/>
  <c r="BG83" i="4"/>
  <c r="BE83" i="4"/>
  <c r="BD83" i="4"/>
  <c r="BC83" i="4"/>
  <c r="BB83" i="4"/>
  <c r="AZ83" i="4"/>
  <c r="AY83" i="4"/>
  <c r="AX83" i="4"/>
  <c r="AW83" i="4"/>
  <c r="AU83" i="4"/>
  <c r="AT83" i="4"/>
  <c r="AS83" i="4"/>
  <c r="AR83" i="4"/>
  <c r="AP83" i="4"/>
  <c r="AO83" i="4"/>
  <c r="AN83" i="4"/>
  <c r="AM83" i="4"/>
  <c r="AK83" i="4"/>
  <c r="AJ83" i="4"/>
  <c r="AI83" i="4"/>
  <c r="AH83" i="4"/>
  <c r="AF83" i="4"/>
  <c r="AE83" i="4"/>
  <c r="AD83" i="4"/>
  <c r="AC83" i="4"/>
  <c r="AA83" i="4"/>
  <c r="Z83" i="4"/>
  <c r="Y83" i="4"/>
  <c r="X83" i="4"/>
  <c r="V83" i="4"/>
  <c r="U83" i="4"/>
  <c r="T83" i="4"/>
  <c r="S83" i="4"/>
  <c r="Q83" i="4"/>
  <c r="P83" i="4"/>
  <c r="O83" i="4"/>
  <c r="N83" i="4"/>
  <c r="CB78" i="4"/>
  <c r="CB76" i="4"/>
  <c r="CB75" i="4"/>
  <c r="BU75" i="4"/>
  <c r="BP75" i="4"/>
  <c r="BK75" i="4"/>
  <c r="BF75" i="4"/>
  <c r="BA75" i="4"/>
  <c r="AV75" i="4"/>
  <c r="AQ75" i="4"/>
  <c r="AL75" i="4"/>
  <c r="AG75" i="4"/>
  <c r="AB75" i="4"/>
  <c r="W75" i="4"/>
  <c r="R75" i="4"/>
  <c r="M75" i="4"/>
  <c r="H75" i="4"/>
  <c r="CB74" i="4"/>
  <c r="CB73" i="4"/>
  <c r="BU73" i="4"/>
  <c r="BP73" i="4"/>
  <c r="BK73" i="4"/>
  <c r="BF73" i="4"/>
  <c r="BA73" i="4"/>
  <c r="AV73" i="4"/>
  <c r="AQ73" i="4"/>
  <c r="AL73" i="4"/>
  <c r="AG73" i="4"/>
  <c r="AB73" i="4"/>
  <c r="W73" i="4"/>
  <c r="R73" i="4"/>
  <c r="M73" i="4"/>
  <c r="H73" i="4"/>
  <c r="CB72" i="4"/>
  <c r="BU72" i="4"/>
  <c r="BU67" i="4" s="1"/>
  <c r="BP72" i="4"/>
  <c r="BK72" i="4"/>
  <c r="BF72" i="4"/>
  <c r="BA72" i="4"/>
  <c r="AV72" i="4"/>
  <c r="AQ72" i="4"/>
  <c r="AQ67" i="4" s="1"/>
  <c r="AL72" i="4"/>
  <c r="AG72" i="4"/>
  <c r="AB72" i="4"/>
  <c r="W72" i="4"/>
  <c r="R72" i="4"/>
  <c r="M72" i="4"/>
  <c r="H72" i="4"/>
  <c r="CB71" i="4"/>
  <c r="BU71" i="4"/>
  <c r="BP71" i="4"/>
  <c r="BK71" i="4"/>
  <c r="BF71" i="4"/>
  <c r="BA71" i="4"/>
  <c r="AV71" i="4"/>
  <c r="AQ71" i="4"/>
  <c r="AL71" i="4"/>
  <c r="AG71" i="4"/>
  <c r="AB71" i="4"/>
  <c r="W71" i="4"/>
  <c r="R71" i="4"/>
  <c r="M71" i="4"/>
  <c r="H71" i="4"/>
  <c r="BU70" i="4"/>
  <c r="BP70" i="4"/>
  <c r="BK70" i="4"/>
  <c r="BF70" i="4"/>
  <c r="BA70" i="4"/>
  <c r="AV70" i="4"/>
  <c r="AQ70" i="4"/>
  <c r="AL70" i="4"/>
  <c r="AG70" i="4"/>
  <c r="AB70" i="4"/>
  <c r="W70" i="4"/>
  <c r="R70" i="4"/>
  <c r="M70" i="4"/>
  <c r="H70" i="4"/>
  <c r="CB69" i="4"/>
  <c r="BU68" i="4"/>
  <c r="BP68" i="4"/>
  <c r="BK68" i="4"/>
  <c r="BF68" i="4"/>
  <c r="BA68" i="4"/>
  <c r="AV68" i="4"/>
  <c r="AV67" i="4" s="1"/>
  <c r="AQ68" i="4"/>
  <c r="AL68" i="4"/>
  <c r="AG68" i="4"/>
  <c r="AB68" i="4"/>
  <c r="W68" i="4"/>
  <c r="R68" i="4"/>
  <c r="R67" i="4" s="1"/>
  <c r="M68" i="4"/>
  <c r="H68" i="4"/>
  <c r="M67" i="4"/>
  <c r="CB66" i="4"/>
  <c r="CB65" i="4"/>
  <c r="CB64" i="4"/>
  <c r="BU64" i="4"/>
  <c r="BP64" i="4"/>
  <c r="BK64" i="4"/>
  <c r="BF64" i="4"/>
  <c r="BA64" i="4"/>
  <c r="AV64" i="4"/>
  <c r="AQ64" i="4"/>
  <c r="AL64" i="4"/>
  <c r="AG64" i="4"/>
  <c r="AB64" i="4"/>
  <c r="W64" i="4"/>
  <c r="R64" i="4"/>
  <c r="M64" i="4"/>
  <c r="CB63" i="4"/>
  <c r="BU63" i="4"/>
  <c r="BP63" i="4"/>
  <c r="BK63" i="4"/>
  <c r="BF63" i="4"/>
  <c r="BA63" i="4"/>
  <c r="AV63" i="4"/>
  <c r="AQ63" i="4"/>
  <c r="AL63" i="4"/>
  <c r="AG63" i="4"/>
  <c r="AB63" i="4"/>
  <c r="W63" i="4"/>
  <c r="R63" i="4"/>
  <c r="M63" i="4"/>
  <c r="CB62" i="4"/>
  <c r="CB61" i="4"/>
  <c r="BU61" i="4"/>
  <c r="BP61" i="4"/>
  <c r="BK61" i="4"/>
  <c r="BF61" i="4"/>
  <c r="BF59" i="4" s="1"/>
  <c r="BA61" i="4"/>
  <c r="AV61" i="4"/>
  <c r="AQ61" i="4"/>
  <c r="AL61" i="4"/>
  <c r="AG61" i="4"/>
  <c r="AB61" i="4"/>
  <c r="AB59" i="4" s="1"/>
  <c r="W61" i="4"/>
  <c r="W59" i="4" s="1"/>
  <c r="R61" i="4"/>
  <c r="M61" i="4"/>
  <c r="CB60" i="4"/>
  <c r="BU60" i="4"/>
  <c r="BP60" i="4"/>
  <c r="BP59" i="4" s="1"/>
  <c r="BK60" i="4"/>
  <c r="BF60" i="4"/>
  <c r="BA60" i="4"/>
  <c r="AV60" i="4"/>
  <c r="AQ60" i="4"/>
  <c r="AL60" i="4"/>
  <c r="AL59" i="4" s="1"/>
  <c r="AG60" i="4"/>
  <c r="AB60" i="4"/>
  <c r="W60" i="4"/>
  <c r="R60" i="4"/>
  <c r="M60" i="4"/>
  <c r="CB59" i="4"/>
  <c r="AV59" i="4"/>
  <c r="R59" i="4"/>
  <c r="CB58" i="4"/>
  <c r="BU57" i="4"/>
  <c r="BP57" i="4"/>
  <c r="BK57" i="4"/>
  <c r="BF57" i="4"/>
  <c r="BA57" i="4"/>
  <c r="AV57" i="4"/>
  <c r="AQ57" i="4"/>
  <c r="AL57" i="4"/>
  <c r="AG57" i="4"/>
  <c r="AB57" i="4"/>
  <c r="W57" i="4"/>
  <c r="R57" i="4"/>
  <c r="M57" i="4"/>
  <c r="M52" i="4" s="1"/>
  <c r="H57" i="4"/>
  <c r="CB56" i="4"/>
  <c r="BU56" i="4"/>
  <c r="BP56" i="4"/>
  <c r="BK56" i="4"/>
  <c r="BF56" i="4"/>
  <c r="BA56" i="4"/>
  <c r="AV56" i="4"/>
  <c r="AQ56" i="4"/>
  <c r="AL56" i="4"/>
  <c r="AG56" i="4"/>
  <c r="AB56" i="4"/>
  <c r="W56" i="4"/>
  <c r="R56" i="4"/>
  <c r="M56" i="4"/>
  <c r="H56" i="4"/>
  <c r="CB55" i="4"/>
  <c r="CB54" i="4"/>
  <c r="BU54" i="4"/>
  <c r="BP54" i="4"/>
  <c r="BK54" i="4"/>
  <c r="BF54" i="4"/>
  <c r="BA54" i="4"/>
  <c r="AV54" i="4"/>
  <c r="AQ54" i="4"/>
  <c r="AL54" i="4"/>
  <c r="AG54" i="4"/>
  <c r="AB54" i="4"/>
  <c r="W54" i="4"/>
  <c r="R54" i="4"/>
  <c r="M54" i="4"/>
  <c r="H54" i="4"/>
  <c r="BU53" i="4"/>
  <c r="BP53" i="4"/>
  <c r="BK53" i="4"/>
  <c r="BK52" i="4" s="1"/>
  <c r="BF53" i="4"/>
  <c r="BF52" i="4" s="1"/>
  <c r="BA53" i="4"/>
  <c r="AV53" i="4"/>
  <c r="AQ53" i="4"/>
  <c r="AL53" i="4"/>
  <c r="AG53" i="4"/>
  <c r="AG52" i="4" s="1"/>
  <c r="AB53" i="4"/>
  <c r="AB52" i="4" s="1"/>
  <c r="W53" i="4"/>
  <c r="R53" i="4"/>
  <c r="M53" i="4"/>
  <c r="H53" i="4"/>
  <c r="W52" i="4"/>
  <c r="CB51" i="4"/>
  <c r="CB50" i="4"/>
  <c r="BU50" i="4"/>
  <c r="BP50" i="4"/>
  <c r="BK50" i="4"/>
  <c r="BF50" i="4"/>
  <c r="BA50" i="4"/>
  <c r="AV50" i="4"/>
  <c r="AQ50" i="4"/>
  <c r="AL50" i="4"/>
  <c r="AG50" i="4"/>
  <c r="AB50" i="4"/>
  <c r="W50" i="4"/>
  <c r="R50" i="4"/>
  <c r="M50" i="4"/>
  <c r="H50" i="4"/>
  <c r="H45" i="4" s="1"/>
  <c r="CB49" i="4"/>
  <c r="BU49" i="4"/>
  <c r="BP49" i="4"/>
  <c r="BK49" i="4"/>
  <c r="BF49" i="4"/>
  <c r="BA49" i="4"/>
  <c r="AV49" i="4"/>
  <c r="AQ49" i="4"/>
  <c r="AL49" i="4"/>
  <c r="AG49" i="4"/>
  <c r="AB49" i="4"/>
  <c r="W49" i="4"/>
  <c r="R49" i="4"/>
  <c r="M49" i="4"/>
  <c r="H49" i="4"/>
  <c r="CB48" i="4"/>
  <c r="CB47" i="4"/>
  <c r="BU47" i="4"/>
  <c r="BP47" i="4"/>
  <c r="BK47" i="4"/>
  <c r="BF47" i="4"/>
  <c r="BA47" i="4"/>
  <c r="AV47" i="4"/>
  <c r="AQ47" i="4"/>
  <c r="AQ45" i="4" s="1"/>
  <c r="AL47" i="4"/>
  <c r="AG47" i="4"/>
  <c r="AB47" i="4"/>
  <c r="W47" i="4"/>
  <c r="R47" i="4"/>
  <c r="M47" i="4"/>
  <c r="H47" i="4"/>
  <c r="BU46" i="4"/>
  <c r="BP46" i="4"/>
  <c r="BK46" i="4"/>
  <c r="BK45" i="4" s="1"/>
  <c r="BF46" i="4"/>
  <c r="BA46" i="4"/>
  <c r="BA45" i="4" s="1"/>
  <c r="AV46" i="4"/>
  <c r="AQ46" i="4"/>
  <c r="AL46" i="4"/>
  <c r="AG46" i="4"/>
  <c r="AG45" i="4" s="1"/>
  <c r="AB46" i="4"/>
  <c r="W46" i="4"/>
  <c r="W45" i="4" s="1"/>
  <c r="R46" i="4"/>
  <c r="M46" i="4"/>
  <c r="H46" i="4"/>
  <c r="AV45" i="4"/>
  <c r="AB45" i="4"/>
  <c r="R45" i="4"/>
  <c r="CB43" i="4"/>
  <c r="CB42" i="4"/>
  <c r="CB41" i="4"/>
  <c r="BU40" i="4"/>
  <c r="BU111" i="4" s="1"/>
  <c r="BP40" i="4"/>
  <c r="BK40" i="4"/>
  <c r="BF40" i="4"/>
  <c r="BF111" i="4" s="1"/>
  <c r="BA40" i="4"/>
  <c r="AV40" i="4"/>
  <c r="AQ40" i="4"/>
  <c r="AQ111" i="4" s="1"/>
  <c r="AL40" i="4"/>
  <c r="AG40" i="4"/>
  <c r="AB40" i="4"/>
  <c r="AB111" i="4" s="1"/>
  <c r="W40" i="4"/>
  <c r="R40" i="4"/>
  <c r="M40" i="4"/>
  <c r="M111" i="4" s="1"/>
  <c r="BK39" i="4"/>
  <c r="BF39" i="4"/>
  <c r="BF110" i="4" s="1"/>
  <c r="BA39" i="4"/>
  <c r="AG39" i="4"/>
  <c r="W39" i="4"/>
  <c r="M39" i="4"/>
  <c r="M110" i="4" s="1"/>
  <c r="CB38" i="4"/>
  <c r="CB37" i="4"/>
  <c r="BU37" i="4"/>
  <c r="BP37" i="4"/>
  <c r="BK37" i="4"/>
  <c r="BK108" i="4" s="1"/>
  <c r="BF37" i="4"/>
  <c r="BF35" i="4" s="1"/>
  <c r="BA37" i="4"/>
  <c r="BA108" i="4" s="1"/>
  <c r="AV37" i="4"/>
  <c r="AV108" i="4" s="1"/>
  <c r="AQ37" i="4"/>
  <c r="AL37" i="4"/>
  <c r="AG37" i="4"/>
  <c r="AG108" i="4" s="1"/>
  <c r="AB37" i="4"/>
  <c r="AB35" i="4" s="1"/>
  <c r="W37" i="4"/>
  <c r="W108" i="4" s="1"/>
  <c r="R37" i="4"/>
  <c r="R108" i="4" s="1"/>
  <c r="M37" i="4"/>
  <c r="H37" i="4"/>
  <c r="BU36" i="4"/>
  <c r="BP36" i="4"/>
  <c r="BP107" i="4" s="1"/>
  <c r="BK36" i="4"/>
  <c r="BK35" i="4" s="1"/>
  <c r="BF36" i="4"/>
  <c r="BF107" i="4" s="1"/>
  <c r="BA36" i="4"/>
  <c r="AV36" i="4"/>
  <c r="AV107" i="4" s="1"/>
  <c r="AQ36" i="4"/>
  <c r="AL36" i="4"/>
  <c r="AL107" i="4" s="1"/>
  <c r="AG36" i="4"/>
  <c r="AG35" i="4" s="1"/>
  <c r="AB36" i="4"/>
  <c r="AB107" i="4" s="1"/>
  <c r="W36" i="4"/>
  <c r="R36" i="4"/>
  <c r="R107" i="4" s="1"/>
  <c r="M36" i="4"/>
  <c r="M35" i="4" s="1"/>
  <c r="M106" i="4" s="1"/>
  <c r="H36" i="4"/>
  <c r="H35" i="4" s="1"/>
  <c r="BU35" i="4"/>
  <c r="AV35" i="4"/>
  <c r="AV106" i="4" s="1"/>
  <c r="AQ35" i="4"/>
  <c r="R35" i="4"/>
  <c r="CB34" i="4"/>
  <c r="CB33" i="4"/>
  <c r="BU33" i="4"/>
  <c r="BU104" i="4" s="1"/>
  <c r="BP33" i="4"/>
  <c r="BP104" i="4" s="1"/>
  <c r="BK33" i="4"/>
  <c r="BK104" i="4" s="1"/>
  <c r="BF33" i="4"/>
  <c r="BA33" i="4"/>
  <c r="BA104" i="4" s="1"/>
  <c r="AV33" i="4"/>
  <c r="AV104" i="4" s="1"/>
  <c r="AQ33" i="4"/>
  <c r="AQ104" i="4" s="1"/>
  <c r="AL33" i="4"/>
  <c r="AL104" i="4" s="1"/>
  <c r="AG33" i="4"/>
  <c r="AG104" i="4" s="1"/>
  <c r="AB33" i="4"/>
  <c r="W33" i="4"/>
  <c r="W104" i="4" s="1"/>
  <c r="R33" i="4"/>
  <c r="R104" i="4" s="1"/>
  <c r="M33" i="4"/>
  <c r="M104" i="4" s="1"/>
  <c r="H33" i="4"/>
  <c r="CB32" i="4"/>
  <c r="BU32" i="4"/>
  <c r="BP32" i="4"/>
  <c r="BP103" i="4" s="1"/>
  <c r="BK32" i="4"/>
  <c r="BF32" i="4"/>
  <c r="BF103" i="4" s="1"/>
  <c r="BA32" i="4"/>
  <c r="BA103" i="4" s="1"/>
  <c r="AV32" i="4"/>
  <c r="AV103" i="4" s="1"/>
  <c r="AQ32" i="4"/>
  <c r="AL32" i="4"/>
  <c r="AL103" i="4" s="1"/>
  <c r="AG32" i="4"/>
  <c r="AB32" i="4"/>
  <c r="AB103" i="4" s="1"/>
  <c r="W32" i="4"/>
  <c r="W103" i="4" s="1"/>
  <c r="R32" i="4"/>
  <c r="R103" i="4" s="1"/>
  <c r="M32" i="4"/>
  <c r="H32" i="4"/>
  <c r="BU31" i="4"/>
  <c r="BU102" i="4" s="1"/>
  <c r="BP31" i="4"/>
  <c r="BK31" i="4"/>
  <c r="BK102" i="4" s="1"/>
  <c r="BF31" i="4"/>
  <c r="BA31" i="4"/>
  <c r="BA102" i="4" s="1"/>
  <c r="AV31" i="4"/>
  <c r="AV30" i="4" s="1"/>
  <c r="AV101" i="4" s="1"/>
  <c r="AQ31" i="4"/>
  <c r="AQ102" i="4" s="1"/>
  <c r="AL31" i="4"/>
  <c r="AG31" i="4"/>
  <c r="AG102" i="4" s="1"/>
  <c r="AB31" i="4"/>
  <c r="W31" i="4"/>
  <c r="W102" i="4" s="1"/>
  <c r="R31" i="4"/>
  <c r="R30" i="4" s="1"/>
  <c r="M31" i="4"/>
  <c r="M102" i="4" s="1"/>
  <c r="H31" i="4"/>
  <c r="BK30" i="4"/>
  <c r="BF30" i="4"/>
  <c r="AB30" i="4"/>
  <c r="CB29" i="4"/>
  <c r="CB28" i="4"/>
  <c r="AV99" i="4"/>
  <c r="BU28" i="4"/>
  <c r="BU99" i="4" s="1"/>
  <c r="BP28" i="4"/>
  <c r="BK28" i="4"/>
  <c r="BK99" i="4" s="1"/>
  <c r="BF28" i="4"/>
  <c r="BF99" i="4" s="1"/>
  <c r="BA28" i="4"/>
  <c r="BA99" i="4" s="1"/>
  <c r="AV28" i="4"/>
  <c r="AQ28" i="4"/>
  <c r="AQ99" i="4" s="1"/>
  <c r="AL28" i="4"/>
  <c r="AG28" i="4"/>
  <c r="AG99" i="4" s="1"/>
  <c r="AB28" i="4"/>
  <c r="AB99" i="4" s="1"/>
  <c r="W28" i="4"/>
  <c r="W99" i="4" s="1"/>
  <c r="R28" i="4"/>
  <c r="R99" i="4" s="1"/>
  <c r="M28" i="4"/>
  <c r="M99" i="4" s="1"/>
  <c r="H28" i="4"/>
  <c r="BU27" i="4"/>
  <c r="BP27" i="4"/>
  <c r="BK27" i="4"/>
  <c r="BK98" i="4" s="1"/>
  <c r="BF27" i="4"/>
  <c r="BA27" i="4"/>
  <c r="BA98" i="4" s="1"/>
  <c r="AV27" i="4"/>
  <c r="AV98" i="4" s="1"/>
  <c r="AQ27" i="4"/>
  <c r="AQ98" i="4" s="1"/>
  <c r="AL27" i="4"/>
  <c r="AG27" i="4"/>
  <c r="AG98" i="4" s="1"/>
  <c r="AB27" i="4"/>
  <c r="W27" i="4"/>
  <c r="W98" i="4" s="1"/>
  <c r="R27" i="4"/>
  <c r="R98" i="4" s="1"/>
  <c r="M27" i="4"/>
  <c r="M98" i="4" s="1"/>
  <c r="H27" i="4"/>
  <c r="CB26" i="4"/>
  <c r="BU26" i="4"/>
  <c r="BU96" i="4" s="1"/>
  <c r="BP26" i="4"/>
  <c r="BK26" i="4"/>
  <c r="BF26" i="4"/>
  <c r="BF96" i="4" s="1"/>
  <c r="BA26" i="4"/>
  <c r="BA96" i="4" s="1"/>
  <c r="AV26" i="4"/>
  <c r="AV96" i="4" s="1"/>
  <c r="AQ26" i="4"/>
  <c r="AQ96" i="4" s="1"/>
  <c r="AL26" i="4"/>
  <c r="AG26" i="4"/>
  <c r="AB26" i="4"/>
  <c r="AB96" i="4" s="1"/>
  <c r="W26" i="4"/>
  <c r="W96" i="4" s="1"/>
  <c r="R26" i="4"/>
  <c r="R96" i="4" s="1"/>
  <c r="M26" i="4"/>
  <c r="M96" i="4" s="1"/>
  <c r="H26" i="4"/>
  <c r="CB25" i="4"/>
  <c r="BU25" i="4"/>
  <c r="BU95" i="4" s="1"/>
  <c r="BP25" i="4"/>
  <c r="BP95" i="4" s="1"/>
  <c r="BK25" i="4"/>
  <c r="BF25" i="4"/>
  <c r="BA25" i="4"/>
  <c r="BA95" i="4" s="1"/>
  <c r="AV25" i="4"/>
  <c r="AV95" i="4" s="1"/>
  <c r="AQ25" i="4"/>
  <c r="AQ95" i="4" s="1"/>
  <c r="AL25" i="4"/>
  <c r="AL95" i="4" s="1"/>
  <c r="AG25" i="4"/>
  <c r="AG24" i="4" s="1"/>
  <c r="AB25" i="4"/>
  <c r="W25" i="4"/>
  <c r="W95" i="4" s="1"/>
  <c r="R25" i="4"/>
  <c r="M25" i="4"/>
  <c r="M95" i="4" s="1"/>
  <c r="H25" i="4"/>
  <c r="H24" i="4" s="1"/>
  <c r="BK24" i="4"/>
  <c r="CB22" i="4"/>
  <c r="CB21" i="4"/>
  <c r="BU21" i="4"/>
  <c r="CB20" i="4"/>
  <c r="CB19" i="4"/>
  <c r="BU19" i="4"/>
  <c r="BU89" i="4" s="1"/>
  <c r="CB18" i="4"/>
  <c r="BU18" i="4"/>
  <c r="BU88" i="4" s="1"/>
  <c r="CB17" i="4"/>
  <c r="BU17" i="4"/>
  <c r="CB16" i="4"/>
  <c r="BU16" i="4"/>
  <c r="BU15" i="4"/>
  <c r="BU85" i="4" s="1"/>
  <c r="BP14" i="4"/>
  <c r="BK14" i="4"/>
  <c r="BK84" i="4" s="1"/>
  <c r="BF14" i="4"/>
  <c r="BF13" i="4" s="1"/>
  <c r="BA14" i="4"/>
  <c r="AV14" i="4"/>
  <c r="AV84" i="4" s="1"/>
  <c r="AQ14" i="4"/>
  <c r="AQ13" i="4" s="1"/>
  <c r="AL14" i="4"/>
  <c r="AG14" i="4"/>
  <c r="AG84" i="4" s="1"/>
  <c r="AB14" i="4"/>
  <c r="W14" i="4"/>
  <c r="R14" i="4"/>
  <c r="R84" i="4" s="1"/>
  <c r="M14" i="4"/>
  <c r="H14" i="4"/>
  <c r="H13" i="4" s="1"/>
  <c r="AB13" i="4"/>
  <c r="BV76" i="3"/>
  <c r="BQ76" i="3"/>
  <c r="BL76" i="3"/>
  <c r="BG76" i="3"/>
  <c r="BB76" i="3"/>
  <c r="AW76" i="3"/>
  <c r="AR76" i="3"/>
  <c r="AM76" i="3"/>
  <c r="AH76" i="3"/>
  <c r="AC76" i="3"/>
  <c r="BV75" i="3"/>
  <c r="BQ75" i="3"/>
  <c r="BL75" i="3"/>
  <c r="BG75" i="3"/>
  <c r="BB75" i="3"/>
  <c r="AW75" i="3"/>
  <c r="AR75" i="3"/>
  <c r="AM75" i="3"/>
  <c r="AH75" i="3"/>
  <c r="AC75" i="3"/>
  <c r="BV74" i="3"/>
  <c r="BQ74" i="3"/>
  <c r="BL74" i="3"/>
  <c r="BG74" i="3"/>
  <c r="BB74" i="3"/>
  <c r="AW74" i="3"/>
  <c r="AR74" i="3"/>
  <c r="AM74" i="3"/>
  <c r="AH74" i="3"/>
  <c r="AC74" i="3"/>
  <c r="BU71" i="3"/>
  <c r="BT71" i="3"/>
  <c r="BS71" i="3"/>
  <c r="BR71" i="3"/>
  <c r="BV71" i="3" s="1"/>
  <c r="N71" i="3"/>
  <c r="BP68" i="3"/>
  <c r="BO68" i="3"/>
  <c r="BN68" i="3"/>
  <c r="BM68" i="3"/>
  <c r="BK68" i="3"/>
  <c r="AY68" i="3"/>
  <c r="AK68" i="3"/>
  <c r="Y68" i="3"/>
  <c r="V68" i="3"/>
  <c r="J68" i="3"/>
  <c r="H68" i="3"/>
  <c r="G68" i="3"/>
  <c r="F68" i="3"/>
  <c r="BU67" i="3"/>
  <c r="BT67" i="3"/>
  <c r="BS67" i="3"/>
  <c r="BR67" i="3"/>
  <c r="BQ67" i="3"/>
  <c r="BL67" i="3"/>
  <c r="BG67" i="3"/>
  <c r="BB67" i="3"/>
  <c r="AW67" i="3"/>
  <c r="AR67" i="3"/>
  <c r="AM67" i="3"/>
  <c r="AH67" i="3"/>
  <c r="AC67" i="3"/>
  <c r="X67" i="3"/>
  <c r="S67" i="3"/>
  <c r="N67" i="3"/>
  <c r="I67" i="3"/>
  <c r="BU66" i="3"/>
  <c r="BT66" i="3"/>
  <c r="BS66" i="3"/>
  <c r="BR66" i="3"/>
  <c r="BQ66" i="3"/>
  <c r="BL66" i="3"/>
  <c r="BG66" i="3"/>
  <c r="BB66" i="3"/>
  <c r="AW66" i="3"/>
  <c r="AR66" i="3"/>
  <c r="AM66" i="3"/>
  <c r="AH66" i="3"/>
  <c r="AC66" i="3"/>
  <c r="X66" i="3"/>
  <c r="S66" i="3"/>
  <c r="N66" i="3"/>
  <c r="I66" i="3"/>
  <c r="BU65" i="3"/>
  <c r="BT65" i="3"/>
  <c r="BS65" i="3"/>
  <c r="BR65" i="3"/>
  <c r="BV65" i="3" s="1"/>
  <c r="BQ65" i="3"/>
  <c r="BL65" i="3"/>
  <c r="BG65" i="3"/>
  <c r="BB65" i="3"/>
  <c r="AW65" i="3"/>
  <c r="AR65" i="3"/>
  <c r="AM65" i="3"/>
  <c r="AH65" i="3"/>
  <c r="AC65" i="3"/>
  <c r="X65" i="3"/>
  <c r="S65" i="3"/>
  <c r="N65" i="3"/>
  <c r="I65" i="3"/>
  <c r="BU64" i="3"/>
  <c r="BT64" i="3"/>
  <c r="BS64" i="3"/>
  <c r="BR64" i="3"/>
  <c r="BQ64" i="3"/>
  <c r="BL64" i="3"/>
  <c r="BG64" i="3"/>
  <c r="BB64" i="3"/>
  <c r="AW64" i="3"/>
  <c r="AR64" i="3"/>
  <c r="AM64" i="3"/>
  <c r="AH64" i="3"/>
  <c r="AC64" i="3"/>
  <c r="X64" i="3"/>
  <c r="S64" i="3"/>
  <c r="N64" i="3"/>
  <c r="I64" i="3"/>
  <c r="BU63" i="3"/>
  <c r="BT63" i="3"/>
  <c r="BS63" i="3"/>
  <c r="BV63" i="3" s="1"/>
  <c r="BR63" i="3"/>
  <c r="BQ63" i="3"/>
  <c r="BL63" i="3"/>
  <c r="BG63" i="3"/>
  <c r="BB63" i="3"/>
  <c r="AW63" i="3"/>
  <c r="AR63" i="3"/>
  <c r="AM63" i="3"/>
  <c r="AH63" i="3"/>
  <c r="AC63" i="3"/>
  <c r="X63" i="3"/>
  <c r="S63" i="3"/>
  <c r="N63" i="3"/>
  <c r="I63" i="3"/>
  <c r="BU62" i="3"/>
  <c r="BT62" i="3"/>
  <c r="BS62" i="3"/>
  <c r="BR62" i="3"/>
  <c r="BQ62" i="3"/>
  <c r="BL62" i="3"/>
  <c r="BG62" i="3"/>
  <c r="BB62" i="3"/>
  <c r="AW62" i="3"/>
  <c r="AR62" i="3"/>
  <c r="AM62" i="3"/>
  <c r="AH62" i="3"/>
  <c r="N62" i="3"/>
  <c r="I62" i="3"/>
  <c r="BU61" i="3"/>
  <c r="BT61" i="3"/>
  <c r="BV61" i="3" s="1"/>
  <c r="BS61" i="3"/>
  <c r="BR61" i="3"/>
  <c r="BQ61" i="3"/>
  <c r="BL61" i="3"/>
  <c r="BG61" i="3"/>
  <c r="BB61" i="3"/>
  <c r="AW61" i="3"/>
  <c r="AR61" i="3"/>
  <c r="AM61" i="3"/>
  <c r="AH61" i="3"/>
  <c r="AC61" i="3"/>
  <c r="X61" i="3"/>
  <c r="S61" i="3"/>
  <c r="N61" i="3"/>
  <c r="I61" i="3"/>
  <c r="BU60" i="3"/>
  <c r="BT60" i="3"/>
  <c r="BS60" i="3"/>
  <c r="BR60" i="3"/>
  <c r="BQ60" i="3"/>
  <c r="BL60" i="3"/>
  <c r="BG60" i="3"/>
  <c r="BB60" i="3"/>
  <c r="AW60" i="3"/>
  <c r="AR60" i="3"/>
  <c r="AM60" i="3"/>
  <c r="AH60" i="3"/>
  <c r="AC60" i="3"/>
  <c r="X60" i="3"/>
  <c r="S60" i="3"/>
  <c r="N60" i="3"/>
  <c r="I60" i="3"/>
  <c r="BQ59" i="3"/>
  <c r="BL59" i="3"/>
  <c r="BF59" i="3"/>
  <c r="BE59" i="3"/>
  <c r="BE68" i="3" s="1"/>
  <c r="BD59" i="3"/>
  <c r="BC59" i="3"/>
  <c r="BB59" i="3"/>
  <c r="AW59" i="3"/>
  <c r="AQ59" i="3"/>
  <c r="AQ68" i="3" s="1"/>
  <c r="AP59" i="3"/>
  <c r="AP68" i="3" s="1"/>
  <c r="AO59" i="3"/>
  <c r="AO68" i="3" s="1"/>
  <c r="AN59" i="3"/>
  <c r="AN68" i="3" s="1"/>
  <c r="AL59" i="3"/>
  <c r="AL68" i="3" s="1"/>
  <c r="AK59" i="3"/>
  <c r="AJ59" i="3"/>
  <c r="AJ68" i="3" s="1"/>
  <c r="AI59" i="3"/>
  <c r="AI68" i="3" s="1"/>
  <c r="AH59" i="3"/>
  <c r="AG59" i="3"/>
  <c r="AF59" i="3"/>
  <c r="AE59" i="3"/>
  <c r="AD59" i="3"/>
  <c r="BR59" i="3" s="1"/>
  <c r="AC59" i="3"/>
  <c r="X59" i="3"/>
  <c r="S59" i="3"/>
  <c r="N59" i="3"/>
  <c r="I59" i="3"/>
  <c r="BU58" i="3"/>
  <c r="BT58" i="3"/>
  <c r="BS58" i="3"/>
  <c r="BR58" i="3"/>
  <c r="BQ58" i="3"/>
  <c r="BL58" i="3"/>
  <c r="BG58" i="3"/>
  <c r="BB58" i="3"/>
  <c r="AW58" i="3"/>
  <c r="AR58" i="3"/>
  <c r="AM58" i="3"/>
  <c r="AH58" i="3"/>
  <c r="AC58" i="3"/>
  <c r="X58" i="3"/>
  <c r="S58" i="3"/>
  <c r="N58" i="3"/>
  <c r="I58" i="3"/>
  <c r="BT57" i="3"/>
  <c r="BS57" i="3"/>
  <c r="BR57" i="3"/>
  <c r="BQ57" i="3"/>
  <c r="BL57" i="3"/>
  <c r="BG57" i="3"/>
  <c r="BF57" i="3"/>
  <c r="BB57" i="3"/>
  <c r="BA57" i="3"/>
  <c r="AV57" i="3"/>
  <c r="AW57" i="3" s="1"/>
  <c r="AR57" i="3"/>
  <c r="AM57" i="3"/>
  <c r="AH57" i="3"/>
  <c r="AG57" i="3"/>
  <c r="AB57" i="3"/>
  <c r="AC57" i="3" s="1"/>
  <c r="X57" i="3"/>
  <c r="W57" i="3"/>
  <c r="S57" i="3"/>
  <c r="R57" i="3"/>
  <c r="M57" i="3"/>
  <c r="N57" i="3" s="1"/>
  <c r="I57" i="3"/>
  <c r="BU56" i="3"/>
  <c r="BT56" i="3"/>
  <c r="BS56" i="3"/>
  <c r="BR56" i="3"/>
  <c r="BV56" i="3" s="1"/>
  <c r="BQ56" i="3"/>
  <c r="BL56" i="3"/>
  <c r="BG56" i="3"/>
  <c r="BB56" i="3"/>
  <c r="AW56" i="3"/>
  <c r="AR56" i="3"/>
  <c r="AM56" i="3"/>
  <c r="AH56" i="3"/>
  <c r="AC56" i="3"/>
  <c r="X56" i="3"/>
  <c r="S56" i="3"/>
  <c r="N56" i="3"/>
  <c r="I56" i="3"/>
  <c r="BU55" i="3"/>
  <c r="BT55" i="3"/>
  <c r="BS55" i="3"/>
  <c r="BR55" i="3"/>
  <c r="BQ55" i="3"/>
  <c r="BL55" i="3"/>
  <c r="BG55" i="3"/>
  <c r="BB55" i="3"/>
  <c r="AW55" i="3"/>
  <c r="AR55" i="3"/>
  <c r="AM55" i="3"/>
  <c r="AH55" i="3"/>
  <c r="AC55" i="3"/>
  <c r="X55" i="3"/>
  <c r="S55" i="3"/>
  <c r="N55" i="3"/>
  <c r="I55" i="3"/>
  <c r="BU54" i="3"/>
  <c r="BT54" i="3"/>
  <c r="BS54" i="3"/>
  <c r="BR54" i="3"/>
  <c r="BQ54" i="3"/>
  <c r="BL54" i="3"/>
  <c r="BG54" i="3"/>
  <c r="BB54" i="3"/>
  <c r="AW54" i="3"/>
  <c r="AR54" i="3"/>
  <c r="AM54" i="3"/>
  <c r="AH54" i="3"/>
  <c r="AC54" i="3"/>
  <c r="X54" i="3"/>
  <c r="X52" i="3" s="1"/>
  <c r="S54" i="3"/>
  <c r="N54" i="3"/>
  <c r="I54" i="3"/>
  <c r="BU53" i="3"/>
  <c r="BU52" i="3" s="1"/>
  <c r="BT53" i="3"/>
  <c r="BT52" i="3" s="1"/>
  <c r="BS53" i="3"/>
  <c r="BR53" i="3"/>
  <c r="BQ53" i="3"/>
  <c r="BL53" i="3"/>
  <c r="BG53" i="3"/>
  <c r="BG52" i="3" s="1"/>
  <c r="BB53" i="3"/>
  <c r="AW53" i="3"/>
  <c r="AR53" i="3"/>
  <c r="AM53" i="3"/>
  <c r="AM52" i="3" s="1"/>
  <c r="AH53" i="3"/>
  <c r="AC53" i="3"/>
  <c r="AC52" i="3" s="1"/>
  <c r="X53" i="3"/>
  <c r="S53" i="3"/>
  <c r="N53" i="3"/>
  <c r="I53" i="3"/>
  <c r="BQ52" i="3"/>
  <c r="BK52" i="3"/>
  <c r="BJ52" i="3"/>
  <c r="BJ68" i="3" s="1"/>
  <c r="BI52" i="3"/>
  <c r="BI68" i="3" s="1"/>
  <c r="BH52" i="3"/>
  <c r="BH68" i="3" s="1"/>
  <c r="BF52" i="3"/>
  <c r="BE52" i="3"/>
  <c r="BD52" i="3"/>
  <c r="BD68" i="3" s="1"/>
  <c r="BC52" i="3"/>
  <c r="BC68" i="3" s="1"/>
  <c r="BB52" i="3"/>
  <c r="BA52" i="3"/>
  <c r="BA68" i="3" s="1"/>
  <c r="AZ52" i="3"/>
  <c r="AZ68" i="3" s="1"/>
  <c r="AY52" i="3"/>
  <c r="AX52" i="3"/>
  <c r="AX68" i="3" s="1"/>
  <c r="AV52" i="3"/>
  <c r="AV68" i="3" s="1"/>
  <c r="AU52" i="3"/>
  <c r="AU68" i="3" s="1"/>
  <c r="AT52" i="3"/>
  <c r="AT68" i="3" s="1"/>
  <c r="AS52" i="3"/>
  <c r="AS68" i="3" s="1"/>
  <c r="AG52" i="3"/>
  <c r="AF52" i="3"/>
  <c r="AF68" i="3" s="1"/>
  <c r="AE52" i="3"/>
  <c r="AE68" i="3" s="1"/>
  <c r="AD52" i="3"/>
  <c r="AB52" i="3"/>
  <c r="AB68" i="3" s="1"/>
  <c r="AA52" i="3"/>
  <c r="AA68" i="3" s="1"/>
  <c r="Z52" i="3"/>
  <c r="Z68" i="3" s="1"/>
  <c r="W52" i="3"/>
  <c r="W68" i="3" s="1"/>
  <c r="V52" i="3"/>
  <c r="U52" i="3"/>
  <c r="U68" i="3" s="1"/>
  <c r="T52" i="3"/>
  <c r="T68" i="3" s="1"/>
  <c r="R52" i="3"/>
  <c r="R68" i="3" s="1"/>
  <c r="Q52" i="3"/>
  <c r="Q68" i="3" s="1"/>
  <c r="P52" i="3"/>
  <c r="P68" i="3" s="1"/>
  <c r="O52" i="3"/>
  <c r="O68" i="3" s="1"/>
  <c r="M52" i="3"/>
  <c r="M68" i="3" s="1"/>
  <c r="L52" i="3"/>
  <c r="L68" i="3" s="1"/>
  <c r="K52" i="3"/>
  <c r="K68" i="3" s="1"/>
  <c r="J52" i="3"/>
  <c r="I52" i="3"/>
  <c r="E52" i="3"/>
  <c r="E68" i="3" s="1"/>
  <c r="BU51" i="3"/>
  <c r="BT51" i="3"/>
  <c r="BS51" i="3"/>
  <c r="BR51" i="3"/>
  <c r="BQ51" i="3"/>
  <c r="BL51" i="3"/>
  <c r="BG51" i="3"/>
  <c r="BB51" i="3"/>
  <c r="AW51" i="3"/>
  <c r="AR51" i="3"/>
  <c r="AM51" i="3"/>
  <c r="AH51" i="3"/>
  <c r="AC51" i="3"/>
  <c r="X51" i="3"/>
  <c r="S51" i="3"/>
  <c r="N51" i="3"/>
  <c r="I51" i="3"/>
  <c r="BU50" i="3"/>
  <c r="BT50" i="3"/>
  <c r="BS50" i="3"/>
  <c r="BV50" i="3" s="1"/>
  <c r="BR50" i="3"/>
  <c r="BQ50" i="3"/>
  <c r="BL50" i="3"/>
  <c r="BC50" i="3"/>
  <c r="BG50" i="3" s="1"/>
  <c r="BB50" i="3"/>
  <c r="AW50" i="3"/>
  <c r="AR50" i="3"/>
  <c r="AM50" i="3"/>
  <c r="AH50" i="3"/>
  <c r="AC50" i="3"/>
  <c r="X50" i="3"/>
  <c r="S50" i="3"/>
  <c r="N50" i="3"/>
  <c r="I50" i="3"/>
  <c r="BP47" i="3"/>
  <c r="BP73" i="3" s="1"/>
  <c r="BP77" i="3" s="1"/>
  <c r="BO47" i="3"/>
  <c r="BO73" i="3" s="1"/>
  <c r="BO77" i="3" s="1"/>
  <c r="BN47" i="3"/>
  <c r="BM47" i="3"/>
  <c r="BM73" i="3" s="1"/>
  <c r="BM77" i="3" s="1"/>
  <c r="BK47" i="3"/>
  <c r="BK73" i="3" s="1"/>
  <c r="BK77" i="3" s="1"/>
  <c r="BJ47" i="3"/>
  <c r="BJ73" i="3" s="1"/>
  <c r="BJ77" i="3" s="1"/>
  <c r="BI47" i="3"/>
  <c r="BH47" i="3"/>
  <c r="BF47" i="3"/>
  <c r="BE47" i="3"/>
  <c r="BD47" i="3"/>
  <c r="BA47" i="3"/>
  <c r="AZ47" i="3"/>
  <c r="AY47" i="3"/>
  <c r="AX47" i="3"/>
  <c r="AV47" i="3"/>
  <c r="AV73" i="3" s="1"/>
  <c r="AV77" i="3" s="1"/>
  <c r="AU47" i="3"/>
  <c r="AT47" i="3"/>
  <c r="AT73" i="3" s="1"/>
  <c r="AT77" i="3" s="1"/>
  <c r="AS47" i="3"/>
  <c r="AQ47" i="3"/>
  <c r="AP47" i="3"/>
  <c r="AO47" i="3"/>
  <c r="AO73" i="3" s="1"/>
  <c r="AO77" i="3" s="1"/>
  <c r="AN47" i="3"/>
  <c r="AL47" i="3"/>
  <c r="AL73" i="3" s="1"/>
  <c r="AL77" i="3" s="1"/>
  <c r="AK47" i="3"/>
  <c r="AJ47" i="3"/>
  <c r="AI47" i="3"/>
  <c r="AG47" i="3"/>
  <c r="AF47" i="3"/>
  <c r="AE47" i="3"/>
  <c r="AD47" i="3"/>
  <c r="AB47" i="3"/>
  <c r="AB73" i="3" s="1"/>
  <c r="AB77" i="3" s="1"/>
  <c r="AA47" i="3"/>
  <c r="Z47" i="3"/>
  <c r="Z73" i="3" s="1"/>
  <c r="Z77" i="3" s="1"/>
  <c r="Y47" i="3"/>
  <c r="Y73" i="3" s="1"/>
  <c r="Y77" i="3" s="1"/>
  <c r="W47" i="3"/>
  <c r="V47" i="3"/>
  <c r="U47" i="3"/>
  <c r="T47" i="3"/>
  <c r="T73" i="3" s="1"/>
  <c r="T77" i="3" s="1"/>
  <c r="R47" i="3"/>
  <c r="R73" i="3" s="1"/>
  <c r="R77" i="3" s="1"/>
  <c r="Q47" i="3"/>
  <c r="Q73" i="3" s="1"/>
  <c r="Q77" i="3" s="1"/>
  <c r="P47" i="3"/>
  <c r="O47" i="3"/>
  <c r="O73" i="3" s="1"/>
  <c r="O77" i="3" s="1"/>
  <c r="M47" i="3"/>
  <c r="L47" i="3"/>
  <c r="L73" i="3" s="1"/>
  <c r="L77" i="3" s="1"/>
  <c r="K47" i="3"/>
  <c r="K73" i="3" s="1"/>
  <c r="K77" i="3" s="1"/>
  <c r="J47" i="3"/>
  <c r="J73" i="3" s="1"/>
  <c r="J77" i="3" s="1"/>
  <c r="H47" i="3"/>
  <c r="H73" i="3" s="1"/>
  <c r="H77" i="3" s="1"/>
  <c r="BU46" i="3"/>
  <c r="BT46" i="3"/>
  <c r="BS46" i="3"/>
  <c r="BR46" i="3"/>
  <c r="BQ46" i="3"/>
  <c r="BL46" i="3"/>
  <c r="BG46" i="3"/>
  <c r="BB46" i="3"/>
  <c r="AW46" i="3"/>
  <c r="AR46" i="3"/>
  <c r="AM46" i="3"/>
  <c r="AH46" i="3"/>
  <c r="AC46" i="3"/>
  <c r="X46" i="3"/>
  <c r="S46" i="3"/>
  <c r="N46" i="3"/>
  <c r="I46" i="3"/>
  <c r="BU45" i="3"/>
  <c r="BT45" i="3"/>
  <c r="BS45" i="3"/>
  <c r="BR45" i="3"/>
  <c r="BQ45" i="3"/>
  <c r="BL45" i="3"/>
  <c r="BG45" i="3"/>
  <c r="BB45" i="3"/>
  <c r="AW45" i="3"/>
  <c r="AR45" i="3"/>
  <c r="AM45" i="3"/>
  <c r="AH45" i="3"/>
  <c r="AC45" i="3"/>
  <c r="X45" i="3"/>
  <c r="S45" i="3"/>
  <c r="N45" i="3"/>
  <c r="I45" i="3"/>
  <c r="BU44" i="3"/>
  <c r="BT44" i="3"/>
  <c r="BS44" i="3"/>
  <c r="BR44" i="3"/>
  <c r="BQ44" i="3"/>
  <c r="BL44" i="3"/>
  <c r="BG44" i="3"/>
  <c r="BB44" i="3"/>
  <c r="AW44" i="3"/>
  <c r="AR44" i="3"/>
  <c r="AM44" i="3"/>
  <c r="AH44" i="3"/>
  <c r="AC44" i="3"/>
  <c r="X44" i="3"/>
  <c r="S44" i="3"/>
  <c r="N44" i="3"/>
  <c r="I44" i="3"/>
  <c r="BU43" i="3"/>
  <c r="BT43" i="3"/>
  <c r="BS43" i="3"/>
  <c r="BR43" i="3"/>
  <c r="BQ43" i="3"/>
  <c r="BL43" i="3"/>
  <c r="BG43" i="3"/>
  <c r="BB43" i="3"/>
  <c r="AW43" i="3"/>
  <c r="AR43" i="3"/>
  <c r="AM43" i="3"/>
  <c r="AH43" i="3"/>
  <c r="AC43" i="3"/>
  <c r="X43" i="3"/>
  <c r="S43" i="3"/>
  <c r="N43" i="3"/>
  <c r="I43" i="3"/>
  <c r="BU42" i="3"/>
  <c r="BT42" i="3"/>
  <c r="BS42" i="3"/>
  <c r="BR42" i="3"/>
  <c r="BQ42" i="3"/>
  <c r="BL42" i="3"/>
  <c r="BG42" i="3"/>
  <c r="BB42" i="3"/>
  <c r="AW42" i="3"/>
  <c r="AR42" i="3"/>
  <c r="AM42" i="3"/>
  <c r="AH42" i="3"/>
  <c r="AC42" i="3"/>
  <c r="X42" i="3"/>
  <c r="S42" i="3"/>
  <c r="N42" i="3"/>
  <c r="I42" i="3"/>
  <c r="BU41" i="3"/>
  <c r="BT41" i="3"/>
  <c r="BV41" i="3" s="1"/>
  <c r="BS41" i="3"/>
  <c r="BR41" i="3"/>
  <c r="BQ41" i="3"/>
  <c r="BL41" i="3"/>
  <c r="BG41" i="3"/>
  <c r="BB41" i="3"/>
  <c r="AW41" i="3"/>
  <c r="AR41" i="3"/>
  <c r="AM41" i="3"/>
  <c r="AH41" i="3"/>
  <c r="AC41" i="3"/>
  <c r="X41" i="3"/>
  <c r="S41" i="3"/>
  <c r="N41" i="3"/>
  <c r="F41" i="3"/>
  <c r="I41" i="3" s="1"/>
  <c r="BU40" i="3"/>
  <c r="BT40" i="3"/>
  <c r="BS40" i="3"/>
  <c r="BR40" i="3"/>
  <c r="BQ40" i="3"/>
  <c r="BL40" i="3"/>
  <c r="BG40" i="3"/>
  <c r="BB40" i="3"/>
  <c r="AW40" i="3"/>
  <c r="AR40" i="3"/>
  <c r="AM40" i="3"/>
  <c r="AH40" i="3"/>
  <c r="AC40" i="3"/>
  <c r="X40" i="3"/>
  <c r="S40" i="3"/>
  <c r="N40" i="3"/>
  <c r="I40" i="3"/>
  <c r="BU39" i="3"/>
  <c r="BT39" i="3"/>
  <c r="BS39" i="3"/>
  <c r="BR39" i="3"/>
  <c r="BQ39" i="3"/>
  <c r="BL39" i="3"/>
  <c r="BG39" i="3"/>
  <c r="BB39" i="3"/>
  <c r="AW39" i="3"/>
  <c r="AR39" i="3"/>
  <c r="AM39" i="3"/>
  <c r="AH39" i="3"/>
  <c r="AC39" i="3"/>
  <c r="X39" i="3"/>
  <c r="S39" i="3"/>
  <c r="N39" i="3"/>
  <c r="I39" i="3"/>
  <c r="BU38" i="3"/>
  <c r="BT38" i="3"/>
  <c r="BV38" i="3" s="1"/>
  <c r="BS38" i="3"/>
  <c r="BR38" i="3"/>
  <c r="BQ38" i="3"/>
  <c r="BL38" i="3"/>
  <c r="BG38" i="3"/>
  <c r="BB38" i="3"/>
  <c r="AW38" i="3"/>
  <c r="AR38" i="3"/>
  <c r="AM38" i="3"/>
  <c r="AH38" i="3"/>
  <c r="AC38" i="3"/>
  <c r="X38" i="3"/>
  <c r="S38" i="3"/>
  <c r="N38" i="3"/>
  <c r="I38" i="3"/>
  <c r="BU37" i="3"/>
  <c r="BT37" i="3"/>
  <c r="BS37" i="3"/>
  <c r="BR37" i="3"/>
  <c r="BQ37" i="3"/>
  <c r="BL37" i="3"/>
  <c r="BG37" i="3"/>
  <c r="BB37" i="3"/>
  <c r="AW37" i="3"/>
  <c r="AR37" i="3"/>
  <c r="AM37" i="3"/>
  <c r="AH37" i="3"/>
  <c r="AC37" i="3"/>
  <c r="X37" i="3"/>
  <c r="S37" i="3"/>
  <c r="N37" i="3"/>
  <c r="I37" i="3"/>
  <c r="BV36" i="3"/>
  <c r="BU36" i="3"/>
  <c r="BT36" i="3"/>
  <c r="BS36" i="3"/>
  <c r="BR36" i="3"/>
  <c r="BQ36" i="3"/>
  <c r="BL36" i="3"/>
  <c r="BG36" i="3"/>
  <c r="BB36" i="3"/>
  <c r="AW36" i="3"/>
  <c r="AR36" i="3"/>
  <c r="AM36" i="3"/>
  <c r="AH36" i="3"/>
  <c r="AC36" i="3"/>
  <c r="X36" i="3"/>
  <c r="S36" i="3"/>
  <c r="N36" i="3"/>
  <c r="I36" i="3"/>
  <c r="BU35" i="3"/>
  <c r="BT35" i="3"/>
  <c r="BS35" i="3"/>
  <c r="BR35" i="3"/>
  <c r="BQ35" i="3"/>
  <c r="BL35" i="3"/>
  <c r="BG35" i="3"/>
  <c r="BB35" i="3"/>
  <c r="AW35" i="3"/>
  <c r="AR35" i="3"/>
  <c r="AM35" i="3"/>
  <c r="AH35" i="3"/>
  <c r="AC35" i="3"/>
  <c r="X35" i="3"/>
  <c r="S35" i="3"/>
  <c r="N35" i="3"/>
  <c r="I35" i="3"/>
  <c r="BU34" i="3"/>
  <c r="BT34" i="3"/>
  <c r="BS34" i="3"/>
  <c r="BR34" i="3"/>
  <c r="BQ34" i="3"/>
  <c r="BL34" i="3"/>
  <c r="BG34" i="3"/>
  <c r="BB34" i="3"/>
  <c r="AW34" i="3"/>
  <c r="AR34" i="3"/>
  <c r="AM34" i="3"/>
  <c r="AH34" i="3"/>
  <c r="AC34" i="3"/>
  <c r="X34" i="3"/>
  <c r="S34" i="3"/>
  <c r="N34" i="3"/>
  <c r="I34" i="3"/>
  <c r="BU33" i="3"/>
  <c r="BT33" i="3"/>
  <c r="BS33" i="3"/>
  <c r="BV33" i="3" s="1"/>
  <c r="BR33" i="3"/>
  <c r="BQ33" i="3"/>
  <c r="BL33" i="3"/>
  <c r="BG33" i="3"/>
  <c r="BB33" i="3"/>
  <c r="AW33" i="3"/>
  <c r="AR33" i="3"/>
  <c r="AM33" i="3"/>
  <c r="AH33" i="3"/>
  <c r="AC33" i="3"/>
  <c r="X33" i="3"/>
  <c r="S33" i="3"/>
  <c r="N33" i="3"/>
  <c r="I33" i="3"/>
  <c r="BU32" i="3"/>
  <c r="BT32" i="3"/>
  <c r="BS32" i="3"/>
  <c r="BR32" i="3"/>
  <c r="BQ32" i="3"/>
  <c r="BL32" i="3"/>
  <c r="BG32" i="3"/>
  <c r="BB32" i="3"/>
  <c r="AW32" i="3"/>
  <c r="AR32" i="3"/>
  <c r="AM32" i="3"/>
  <c r="AH32" i="3"/>
  <c r="AC32" i="3"/>
  <c r="X32" i="3"/>
  <c r="S32" i="3"/>
  <c r="N32" i="3"/>
  <c r="I32" i="3"/>
  <c r="BU31" i="3"/>
  <c r="BT31" i="3"/>
  <c r="BS31" i="3"/>
  <c r="BR31" i="3"/>
  <c r="BQ31" i="3"/>
  <c r="BL31" i="3"/>
  <c r="BG31" i="3"/>
  <c r="BB31" i="3"/>
  <c r="AW31" i="3"/>
  <c r="AR31" i="3"/>
  <c r="AM31" i="3"/>
  <c r="AH31" i="3"/>
  <c r="AC31" i="3"/>
  <c r="X31" i="3"/>
  <c r="S31" i="3"/>
  <c r="N31" i="3"/>
  <c r="I31" i="3"/>
  <c r="BU30" i="3"/>
  <c r="BT30" i="3"/>
  <c r="BS30" i="3"/>
  <c r="BV30" i="3" s="1"/>
  <c r="BR30" i="3"/>
  <c r="BQ30" i="3"/>
  <c r="BL30" i="3"/>
  <c r="BG30" i="3"/>
  <c r="BB30" i="3"/>
  <c r="AW30" i="3"/>
  <c r="AR30" i="3"/>
  <c r="AM30" i="3"/>
  <c r="AH30" i="3"/>
  <c r="AC30" i="3"/>
  <c r="X30" i="3"/>
  <c r="S30" i="3"/>
  <c r="N30" i="3"/>
  <c r="G30" i="3"/>
  <c r="I30" i="3" s="1"/>
  <c r="BU29" i="3"/>
  <c r="BT29" i="3"/>
  <c r="BS29" i="3"/>
  <c r="BR29" i="3"/>
  <c r="BV29" i="3" s="1"/>
  <c r="BQ29" i="3"/>
  <c r="BL29" i="3"/>
  <c r="BG29" i="3"/>
  <c r="BB29" i="3"/>
  <c r="AW29" i="3"/>
  <c r="AR29" i="3"/>
  <c r="AM29" i="3"/>
  <c r="AH29" i="3"/>
  <c r="AC29" i="3"/>
  <c r="X29" i="3"/>
  <c r="S29" i="3"/>
  <c r="N29" i="3"/>
  <c r="I29" i="3"/>
  <c r="BU28" i="3"/>
  <c r="BT28" i="3"/>
  <c r="BS28" i="3"/>
  <c r="BR28" i="3"/>
  <c r="BQ28" i="3"/>
  <c r="BL28" i="3"/>
  <c r="BG28" i="3"/>
  <c r="BB28" i="3"/>
  <c r="AW28" i="3"/>
  <c r="AR28" i="3"/>
  <c r="AM28" i="3"/>
  <c r="AH28" i="3"/>
  <c r="AC28" i="3"/>
  <c r="X28" i="3"/>
  <c r="S28" i="3"/>
  <c r="N28" i="3"/>
  <c r="F28" i="3"/>
  <c r="E28" i="3"/>
  <c r="I28" i="3" s="1"/>
  <c r="BV27" i="3"/>
  <c r="BU27" i="3"/>
  <c r="BT27" i="3"/>
  <c r="BS27" i="3"/>
  <c r="BR27" i="3"/>
  <c r="BQ27" i="3"/>
  <c r="BL27" i="3"/>
  <c r="BG27" i="3"/>
  <c r="BB27" i="3"/>
  <c r="AW27" i="3"/>
  <c r="AR27" i="3"/>
  <c r="AM27" i="3"/>
  <c r="AH27" i="3"/>
  <c r="AC27" i="3"/>
  <c r="X27" i="3"/>
  <c r="S27" i="3"/>
  <c r="N27" i="3"/>
  <c r="G27" i="3"/>
  <c r="F27" i="3"/>
  <c r="E27" i="3"/>
  <c r="BU26" i="3"/>
  <c r="BT26" i="3"/>
  <c r="BS26" i="3"/>
  <c r="BR26" i="3"/>
  <c r="BQ26" i="3"/>
  <c r="BL26" i="3"/>
  <c r="BG26" i="3"/>
  <c r="BB26" i="3"/>
  <c r="AW26" i="3"/>
  <c r="AR26" i="3"/>
  <c r="AM26" i="3"/>
  <c r="AH26" i="3"/>
  <c r="AC26" i="3"/>
  <c r="X26" i="3"/>
  <c r="S26" i="3"/>
  <c r="N26" i="3"/>
  <c r="I26" i="3"/>
  <c r="BU25" i="3"/>
  <c r="BT25" i="3"/>
  <c r="BS25" i="3"/>
  <c r="BR25" i="3"/>
  <c r="BV25" i="3" s="1"/>
  <c r="BQ25" i="3"/>
  <c r="BL25" i="3"/>
  <c r="BG25" i="3"/>
  <c r="BB25" i="3"/>
  <c r="AW25" i="3"/>
  <c r="AR25" i="3"/>
  <c r="AM25" i="3"/>
  <c r="AH25" i="3"/>
  <c r="AC25" i="3"/>
  <c r="X25" i="3"/>
  <c r="S25" i="3"/>
  <c r="N25" i="3"/>
  <c r="I25" i="3"/>
  <c r="BV24" i="3"/>
  <c r="BU24" i="3"/>
  <c r="BT24" i="3"/>
  <c r="BS24" i="3"/>
  <c r="BR24" i="3"/>
  <c r="BQ24" i="3"/>
  <c r="BL24" i="3"/>
  <c r="BG24" i="3"/>
  <c r="BB24" i="3"/>
  <c r="AW24" i="3"/>
  <c r="AR24" i="3"/>
  <c r="AM24" i="3"/>
  <c r="AH24" i="3"/>
  <c r="AC24" i="3"/>
  <c r="X24" i="3"/>
  <c r="S24" i="3"/>
  <c r="N24" i="3"/>
  <c r="I24" i="3"/>
  <c r="BU23" i="3"/>
  <c r="BT23" i="3"/>
  <c r="BS23" i="3"/>
  <c r="BR23" i="3"/>
  <c r="BQ23" i="3"/>
  <c r="BL23" i="3"/>
  <c r="BG23" i="3"/>
  <c r="BB23" i="3"/>
  <c r="AW23" i="3"/>
  <c r="AR23" i="3"/>
  <c r="AM23" i="3"/>
  <c r="AH23" i="3"/>
  <c r="AC23" i="3"/>
  <c r="X23" i="3"/>
  <c r="S23" i="3"/>
  <c r="N23" i="3"/>
  <c r="I23" i="3"/>
  <c r="G23" i="3"/>
  <c r="BU22" i="3"/>
  <c r="BT22" i="3"/>
  <c r="BS22" i="3"/>
  <c r="BR22" i="3"/>
  <c r="BQ22" i="3"/>
  <c r="BL22" i="3"/>
  <c r="BG22" i="3"/>
  <c r="BB22" i="3"/>
  <c r="AW22" i="3"/>
  <c r="AR22" i="3"/>
  <c r="AM22" i="3"/>
  <c r="AH22" i="3"/>
  <c r="AC22" i="3"/>
  <c r="X22" i="3"/>
  <c r="S22" i="3"/>
  <c r="N22" i="3"/>
  <c r="I22" i="3"/>
  <c r="BU21" i="3"/>
  <c r="BT21" i="3"/>
  <c r="BS21" i="3"/>
  <c r="BR21" i="3"/>
  <c r="BQ21" i="3"/>
  <c r="BL21" i="3"/>
  <c r="BG21" i="3"/>
  <c r="BB21" i="3"/>
  <c r="AW21" i="3"/>
  <c r="AR21" i="3"/>
  <c r="AM21" i="3"/>
  <c r="AH21" i="3"/>
  <c r="AC21" i="3"/>
  <c r="X21" i="3"/>
  <c r="S21" i="3"/>
  <c r="N21" i="3"/>
  <c r="I21" i="3"/>
  <c r="F21" i="3"/>
  <c r="BU20" i="3"/>
  <c r="BT20" i="3"/>
  <c r="BS20" i="3"/>
  <c r="BR20" i="3"/>
  <c r="BQ20" i="3"/>
  <c r="BL20" i="3"/>
  <c r="BG20" i="3"/>
  <c r="BB20" i="3"/>
  <c r="AW20" i="3"/>
  <c r="AR20" i="3"/>
  <c r="AM20" i="3"/>
  <c r="AH20" i="3"/>
  <c r="AC20" i="3"/>
  <c r="X20" i="3"/>
  <c r="S20" i="3"/>
  <c r="N20" i="3"/>
  <c r="G20" i="3"/>
  <c r="I20" i="3" s="1"/>
  <c r="BU19" i="3"/>
  <c r="BT19" i="3"/>
  <c r="BS19" i="3"/>
  <c r="BR19" i="3"/>
  <c r="BQ19" i="3"/>
  <c r="BL19" i="3"/>
  <c r="BG19" i="3"/>
  <c r="BB19" i="3"/>
  <c r="AW19" i="3"/>
  <c r="AR19" i="3"/>
  <c r="AM19" i="3"/>
  <c r="AH19" i="3"/>
  <c r="AC19" i="3"/>
  <c r="X19" i="3"/>
  <c r="S19" i="3"/>
  <c r="N19" i="3"/>
  <c r="I19" i="3"/>
  <c r="BU18" i="3"/>
  <c r="BT18" i="3"/>
  <c r="BS18" i="3"/>
  <c r="BV18" i="3" s="1"/>
  <c r="BR18" i="3"/>
  <c r="BQ18" i="3"/>
  <c r="BL18" i="3"/>
  <c r="BG18" i="3"/>
  <c r="BB18" i="3"/>
  <c r="AW18" i="3"/>
  <c r="AR18" i="3"/>
  <c r="AM18" i="3"/>
  <c r="AH18" i="3"/>
  <c r="AC18" i="3"/>
  <c r="X18" i="3"/>
  <c r="S18" i="3"/>
  <c r="N18" i="3"/>
  <c r="I18" i="3"/>
  <c r="BU17" i="3"/>
  <c r="BT17" i="3"/>
  <c r="BS17" i="3"/>
  <c r="BR17" i="3"/>
  <c r="BQ17" i="3"/>
  <c r="BL17" i="3"/>
  <c r="BG17" i="3"/>
  <c r="BB17" i="3"/>
  <c r="AW17" i="3"/>
  <c r="AR17" i="3"/>
  <c r="AM17" i="3"/>
  <c r="AH17" i="3"/>
  <c r="AC17" i="3"/>
  <c r="X17" i="3"/>
  <c r="S17" i="3"/>
  <c r="N17" i="3"/>
  <c r="I17" i="3"/>
  <c r="BU16" i="3"/>
  <c r="BT16" i="3"/>
  <c r="BS16" i="3"/>
  <c r="BR16" i="3"/>
  <c r="BQ16" i="3"/>
  <c r="BL16" i="3"/>
  <c r="BG16" i="3"/>
  <c r="BB16" i="3"/>
  <c r="AW16" i="3"/>
  <c r="AR16" i="3"/>
  <c r="AM16" i="3"/>
  <c r="AH16" i="3"/>
  <c r="AC16" i="3"/>
  <c r="X16" i="3"/>
  <c r="S16" i="3"/>
  <c r="N16" i="3"/>
  <c r="I16" i="3"/>
  <c r="BT15" i="3"/>
  <c r="BS15" i="3"/>
  <c r="BR15" i="3"/>
  <c r="BQ15" i="3"/>
  <c r="BL15" i="3"/>
  <c r="BF15" i="3"/>
  <c r="BU15" i="3" s="1"/>
  <c r="BB15" i="3"/>
  <c r="AW15" i="3"/>
  <c r="AR15" i="3"/>
  <c r="AM15" i="3"/>
  <c r="AH15" i="3"/>
  <c r="AC15" i="3"/>
  <c r="X15" i="3"/>
  <c r="S15" i="3"/>
  <c r="N15" i="3"/>
  <c r="I15" i="3"/>
  <c r="BU14" i="3"/>
  <c r="BT14" i="3"/>
  <c r="BS14" i="3"/>
  <c r="BR14" i="3"/>
  <c r="BQ14" i="3"/>
  <c r="BL14" i="3"/>
  <c r="BG14" i="3"/>
  <c r="BB14" i="3"/>
  <c r="AW14" i="3"/>
  <c r="AR14" i="3"/>
  <c r="AM14" i="3"/>
  <c r="AH14" i="3"/>
  <c r="AC14" i="3"/>
  <c r="X14" i="3"/>
  <c r="S14" i="3"/>
  <c r="N14" i="3"/>
  <c r="G14" i="3"/>
  <c r="BU13" i="3"/>
  <c r="BT13" i="3"/>
  <c r="BS13" i="3"/>
  <c r="BR13" i="3"/>
  <c r="BQ13" i="3"/>
  <c r="BL13" i="3"/>
  <c r="BG13" i="3"/>
  <c r="BB13" i="3"/>
  <c r="AW13" i="3"/>
  <c r="AR13" i="3"/>
  <c r="AM13" i="3"/>
  <c r="AH13" i="3"/>
  <c r="AC13" i="3"/>
  <c r="X13" i="3"/>
  <c r="S13" i="3"/>
  <c r="N13" i="3"/>
  <c r="I13" i="3"/>
  <c r="BU12" i="3"/>
  <c r="BT12" i="3"/>
  <c r="BS12" i="3"/>
  <c r="BR12" i="3"/>
  <c r="BQ12" i="3"/>
  <c r="BL12" i="3"/>
  <c r="BG12" i="3"/>
  <c r="BB12" i="3"/>
  <c r="AW12" i="3"/>
  <c r="AR12" i="3"/>
  <c r="AM12" i="3"/>
  <c r="AH12" i="3"/>
  <c r="AC12" i="3"/>
  <c r="X12" i="3"/>
  <c r="S12" i="3"/>
  <c r="N12" i="3"/>
  <c r="I12" i="3"/>
  <c r="BU11" i="3"/>
  <c r="BT11" i="3"/>
  <c r="BS11" i="3"/>
  <c r="BV11" i="3" s="1"/>
  <c r="BR11" i="3"/>
  <c r="BQ11" i="3"/>
  <c r="BL11" i="3"/>
  <c r="BG11" i="3"/>
  <c r="BB11" i="3"/>
  <c r="AW11" i="3"/>
  <c r="AR11" i="3"/>
  <c r="AM11" i="3"/>
  <c r="AH11" i="3"/>
  <c r="AC11" i="3"/>
  <c r="X11" i="3"/>
  <c r="S11" i="3"/>
  <c r="N11" i="3"/>
  <c r="F11" i="3"/>
  <c r="BU10" i="3"/>
  <c r="BT10" i="3"/>
  <c r="BS10" i="3"/>
  <c r="BR10" i="3"/>
  <c r="BQ10" i="3"/>
  <c r="BL10" i="3"/>
  <c r="BG10" i="3"/>
  <c r="BB10" i="3"/>
  <c r="AW10" i="3"/>
  <c r="AR10" i="3"/>
  <c r="AM10" i="3"/>
  <c r="AH10" i="3"/>
  <c r="AC10" i="3"/>
  <c r="X10" i="3"/>
  <c r="S10" i="3"/>
  <c r="N10" i="3"/>
  <c r="I10" i="3"/>
  <c r="BU9" i="3"/>
  <c r="BV9" i="3" s="1"/>
  <c r="BT9" i="3"/>
  <c r="BS9" i="3"/>
  <c r="BR9" i="3"/>
  <c r="BQ9" i="3"/>
  <c r="BL9" i="3"/>
  <c r="BG9" i="3"/>
  <c r="BF9" i="3"/>
  <c r="BB9" i="3"/>
  <c r="AW9" i="3"/>
  <c r="AR9" i="3"/>
  <c r="AM9" i="3"/>
  <c r="AH9" i="3"/>
  <c r="AH47" i="3" s="1"/>
  <c r="AC9" i="3"/>
  <c r="X9" i="3"/>
  <c r="S9" i="3"/>
  <c r="N9" i="3"/>
  <c r="I9" i="3"/>
  <c r="BU8" i="3"/>
  <c r="BT8" i="3"/>
  <c r="BS8" i="3"/>
  <c r="BR8" i="3"/>
  <c r="BQ8" i="3"/>
  <c r="BL8" i="3"/>
  <c r="BG8" i="3"/>
  <c r="BB8" i="3"/>
  <c r="AW8" i="3"/>
  <c r="AR8" i="3"/>
  <c r="AM8" i="3"/>
  <c r="AH8" i="3"/>
  <c r="AC8" i="3"/>
  <c r="X8" i="3"/>
  <c r="S8" i="3"/>
  <c r="N8" i="3"/>
  <c r="I8" i="3"/>
  <c r="BU7" i="3"/>
  <c r="BT7" i="3"/>
  <c r="BS7" i="3"/>
  <c r="BQ7" i="3"/>
  <c r="BL7" i="3"/>
  <c r="BC7" i="3"/>
  <c r="BB7" i="3"/>
  <c r="AW7" i="3"/>
  <c r="AR7" i="3"/>
  <c r="AM7" i="3"/>
  <c r="AH7" i="3"/>
  <c r="AC7" i="3"/>
  <c r="X7" i="3"/>
  <c r="S7" i="3"/>
  <c r="N7" i="3"/>
  <c r="I7" i="3"/>
  <c r="E7" i="3"/>
  <c r="E47" i="3" s="1"/>
  <c r="E73" i="3" s="1"/>
  <c r="E77" i="3" s="1"/>
  <c r="BU74" i="9" l="1"/>
  <c r="BU38" i="9"/>
  <c r="BK55" i="9"/>
  <c r="BT42" i="8"/>
  <c r="BT67" i="8"/>
  <c r="BT131" i="8"/>
  <c r="L155" i="8"/>
  <c r="L104" i="8" s="1"/>
  <c r="AU155" i="8"/>
  <c r="AU104" i="8" s="1"/>
  <c r="BT157" i="8"/>
  <c r="BT175" i="8"/>
  <c r="BT183" i="8"/>
  <c r="BT22" i="8"/>
  <c r="BT20" i="8"/>
  <c r="AF62" i="8"/>
  <c r="L72" i="8"/>
  <c r="L15" i="8" s="1"/>
  <c r="BT82" i="8"/>
  <c r="BT159" i="8"/>
  <c r="BT171" i="8"/>
  <c r="BT179" i="8"/>
  <c r="BT50" i="7"/>
  <c r="G12" i="7"/>
  <c r="AA122" i="7"/>
  <c r="BE122" i="7"/>
  <c r="BJ13" i="6"/>
  <c r="BJ12" i="6" s="1"/>
  <c r="BJ7" i="6" s="1"/>
  <c r="BO13" i="6"/>
  <c r="BO12" i="6" s="1"/>
  <c r="BO7" i="6" s="1"/>
  <c r="BT184" i="6"/>
  <c r="AZ13" i="6"/>
  <c r="AZ12" i="6" s="1"/>
  <c r="AZ7" i="6" s="1"/>
  <c r="AQ44" i="4"/>
  <c r="H30" i="4"/>
  <c r="AL30" i="4"/>
  <c r="BP30" i="4"/>
  <c r="BP101" i="4" s="1"/>
  <c r="BU45" i="4"/>
  <c r="BA52" i="4"/>
  <c r="M59" i="4"/>
  <c r="AQ59" i="4"/>
  <c r="BU59" i="4"/>
  <c r="AB67" i="4"/>
  <c r="BF67" i="4"/>
  <c r="BW104" i="4"/>
  <c r="AL35" i="4"/>
  <c r="AL106" i="4" s="1"/>
  <c r="BP35" i="4"/>
  <c r="BP106" i="4" s="1"/>
  <c r="R24" i="4"/>
  <c r="R94" i="4" s="1"/>
  <c r="H67" i="4"/>
  <c r="AL67" i="4"/>
  <c r="BP67" i="4"/>
  <c r="AG30" i="4"/>
  <c r="AG23" i="4" s="1"/>
  <c r="AG93" i="4" s="1"/>
  <c r="M30" i="4"/>
  <c r="AQ30" i="4"/>
  <c r="AQ101" i="4" s="1"/>
  <c r="BU30" i="4"/>
  <c r="M45" i="4"/>
  <c r="BF45" i="4"/>
  <c r="AG67" i="4"/>
  <c r="BK67" i="4"/>
  <c r="BW137" i="4"/>
  <c r="AL45" i="4"/>
  <c r="BP45" i="4"/>
  <c r="AQ52" i="4"/>
  <c r="BU52" i="4"/>
  <c r="BA59" i="4"/>
  <c r="BW129" i="4"/>
  <c r="BW113" i="4" s="1"/>
  <c r="BJ207" i="6"/>
  <c r="BT223" i="6"/>
  <c r="V13" i="6"/>
  <c r="V12" i="6" s="1"/>
  <c r="BE207" i="6"/>
  <c r="BE8" i="6" s="1"/>
  <c r="BT229" i="6"/>
  <c r="Q207" i="6"/>
  <c r="Q8" i="6" s="1"/>
  <c r="L207" i="6"/>
  <c r="L8" i="6" s="1"/>
  <c r="AP207" i="6"/>
  <c r="AP8" i="6" s="1"/>
  <c r="BT250" i="6"/>
  <c r="BE13" i="6"/>
  <c r="BE12" i="6" s="1"/>
  <c r="AA13" i="6"/>
  <c r="AA12" i="6" s="1"/>
  <c r="S40" i="11"/>
  <c r="BA73" i="3"/>
  <c r="BA77" i="3" s="1"/>
  <c r="AQ54" i="9"/>
  <c r="AG12" i="9"/>
  <c r="AG40" i="9" s="1"/>
  <c r="AG81" i="9" s="1"/>
  <c r="AL13" i="9"/>
  <c r="AL12" i="9" s="1"/>
  <c r="M58" i="9"/>
  <c r="AQ58" i="9"/>
  <c r="AG68" i="9"/>
  <c r="BK68" i="9"/>
  <c r="AQ55" i="9"/>
  <c r="BK12" i="9"/>
  <c r="BK40" i="9" s="1"/>
  <c r="BU59" i="9"/>
  <c r="BU27" i="9"/>
  <c r="BU68" i="9" s="1"/>
  <c r="H12" i="9"/>
  <c r="H40" i="9" s="1"/>
  <c r="BP13" i="9"/>
  <c r="BP54" i="9" s="1"/>
  <c r="BU54" i="9"/>
  <c r="W58" i="9"/>
  <c r="BA58" i="9"/>
  <c r="M68" i="9"/>
  <c r="AQ68" i="9"/>
  <c r="R73" i="9"/>
  <c r="AV73" i="9"/>
  <c r="BU55" i="9"/>
  <c r="AG58" i="9"/>
  <c r="BK58" i="9"/>
  <c r="BU60" i="9"/>
  <c r="W68" i="9"/>
  <c r="BA68" i="9"/>
  <c r="BU79" i="9"/>
  <c r="AB54" i="9"/>
  <c r="AB12" i="9"/>
  <c r="BF54" i="9"/>
  <c r="BF12" i="9"/>
  <c r="R13" i="9"/>
  <c r="AV13" i="9"/>
  <c r="BU17" i="9"/>
  <c r="BU58" i="9" s="1"/>
  <c r="AB55" i="9"/>
  <c r="BF55" i="9"/>
  <c r="BU70" i="9"/>
  <c r="M12" i="9"/>
  <c r="AQ12" i="9"/>
  <c r="BU12" i="9"/>
  <c r="W13" i="9"/>
  <c r="BA13" i="9"/>
  <c r="BO15" i="8"/>
  <c r="V18" i="8"/>
  <c r="AK17" i="8"/>
  <c r="AK13" i="8" s="1"/>
  <c r="BT32" i="8"/>
  <c r="BT52" i="8"/>
  <c r="AA62" i="8"/>
  <c r="AA14" i="8" s="1"/>
  <c r="BT63" i="8"/>
  <c r="G107" i="8"/>
  <c r="G103" i="8" s="1"/>
  <c r="G102" i="8" s="1"/>
  <c r="BT64" i="8"/>
  <c r="AP107" i="8"/>
  <c r="AP103" i="8" s="1"/>
  <c r="BT123" i="8"/>
  <c r="BO167" i="8"/>
  <c r="BO105" i="8" s="1"/>
  <c r="AK72" i="8"/>
  <c r="AK15" i="8" s="1"/>
  <c r="BT109" i="8"/>
  <c r="BT135" i="8"/>
  <c r="BT151" i="8"/>
  <c r="AF155" i="8"/>
  <c r="AF104" i="8" s="1"/>
  <c r="BT168" i="8"/>
  <c r="BT127" i="8"/>
  <c r="BT169" i="8"/>
  <c r="BO18" i="8"/>
  <c r="BO17" i="8" s="1"/>
  <c r="BJ62" i="8"/>
  <c r="BT77" i="8"/>
  <c r="BT87" i="8"/>
  <c r="V107" i="8"/>
  <c r="V103" i="8" s="1"/>
  <c r="BJ14" i="8"/>
  <c r="AF14" i="8"/>
  <c r="Q17" i="8"/>
  <c r="BO13" i="8"/>
  <c r="BT37" i="8"/>
  <c r="AA18" i="8"/>
  <c r="BE18" i="8"/>
  <c r="AZ62" i="8"/>
  <c r="BT75" i="8"/>
  <c r="AA105" i="8"/>
  <c r="BT47" i="8"/>
  <c r="AF18" i="8"/>
  <c r="BJ18" i="8"/>
  <c r="BE62" i="8"/>
  <c r="AF72" i="8"/>
  <c r="AA107" i="8"/>
  <c r="AF107" i="8"/>
  <c r="BJ107" i="8"/>
  <c r="V167" i="8"/>
  <c r="AZ167" i="8"/>
  <c r="L17" i="8"/>
  <c r="BT57" i="8"/>
  <c r="L62" i="8"/>
  <c r="AZ18" i="8"/>
  <c r="BT19" i="8"/>
  <c r="BT17" i="8" s="1"/>
  <c r="BT13" i="8" s="1"/>
  <c r="Q72" i="8"/>
  <c r="AU15" i="8"/>
  <c r="BT97" i="8"/>
  <c r="AZ103" i="8"/>
  <c r="BT111" i="8"/>
  <c r="AA155" i="8"/>
  <c r="BJ155" i="8"/>
  <c r="AU13" i="8"/>
  <c r="AP14" i="8"/>
  <c r="AP17" i="8"/>
  <c r="V62" i="8"/>
  <c r="AP72" i="8"/>
  <c r="V72" i="8"/>
  <c r="AZ72" i="8"/>
  <c r="BE107" i="8"/>
  <c r="AU107" i="8"/>
  <c r="BT115" i="8"/>
  <c r="BT108" i="8"/>
  <c r="BT107" i="8" s="1"/>
  <c r="BT103" i="8" s="1"/>
  <c r="BO155" i="8"/>
  <c r="V17" i="8"/>
  <c r="AK62" i="8"/>
  <c r="BO62" i="8"/>
  <c r="V104" i="8"/>
  <c r="AK107" i="8"/>
  <c r="BT65" i="8"/>
  <c r="BT74" i="8"/>
  <c r="AK105" i="8"/>
  <c r="L107" i="8"/>
  <c r="BE167" i="8"/>
  <c r="L167" i="8"/>
  <c r="AP167" i="8"/>
  <c r="Q62" i="8"/>
  <c r="AU62" i="8"/>
  <c r="AA72" i="8"/>
  <c r="BE72" i="8"/>
  <c r="Q107" i="8"/>
  <c r="BE155" i="8"/>
  <c r="BT163" i="8"/>
  <c r="BT156" i="8"/>
  <c r="BT155" i="8" s="1"/>
  <c r="BT104" i="8" s="1"/>
  <c r="AK155" i="8"/>
  <c r="Q167" i="8"/>
  <c r="AU167" i="8"/>
  <c r="BE15" i="7"/>
  <c r="AA16" i="7"/>
  <c r="BT18" i="7"/>
  <c r="BT13" i="7" s="1"/>
  <c r="AK16" i="7"/>
  <c r="BT92" i="7"/>
  <c r="BE13" i="7"/>
  <c r="V15" i="7"/>
  <c r="BT31" i="7"/>
  <c r="BT60" i="7"/>
  <c r="AA15" i="7"/>
  <c r="AA12" i="7" s="1"/>
  <c r="L65" i="7"/>
  <c r="L15" i="7" s="1"/>
  <c r="V122" i="7"/>
  <c r="V16" i="7" s="1"/>
  <c r="BT125" i="7"/>
  <c r="Q14" i="7"/>
  <c r="AU14" i="7"/>
  <c r="AZ15" i="7"/>
  <c r="BE16" i="7"/>
  <c r="BT33" i="7"/>
  <c r="BT45" i="7"/>
  <c r="AU65" i="7"/>
  <c r="BT68" i="7"/>
  <c r="BO122" i="7"/>
  <c r="AP122" i="7"/>
  <c r="BT142" i="7"/>
  <c r="BT83" i="7"/>
  <c r="Q13" i="7"/>
  <c r="AU13" i="7"/>
  <c r="BT40" i="7"/>
  <c r="Q65" i="7"/>
  <c r="BT104" i="7"/>
  <c r="AF122" i="7"/>
  <c r="BJ122" i="7"/>
  <c r="V13" i="7"/>
  <c r="AZ13" i="7"/>
  <c r="BT32" i="7"/>
  <c r="BT98" i="7"/>
  <c r="AK65" i="7"/>
  <c r="BT77" i="7"/>
  <c r="BT89" i="7"/>
  <c r="BT35" i="7"/>
  <c r="AP65" i="7"/>
  <c r="BT66" i="7"/>
  <c r="BT74" i="7"/>
  <c r="BT116" i="7"/>
  <c r="BT119" i="7"/>
  <c r="Q122" i="7"/>
  <c r="AU122" i="7"/>
  <c r="L122" i="7"/>
  <c r="BT124" i="7"/>
  <c r="BT123" i="7"/>
  <c r="BT152" i="7"/>
  <c r="AA307" i="6"/>
  <c r="AA10" i="6" s="1"/>
  <c r="AU207" i="6"/>
  <c r="AP278" i="6"/>
  <c r="BT137" i="6"/>
  <c r="BT198" i="6"/>
  <c r="AA207" i="6"/>
  <c r="AA8" i="6" s="1"/>
  <c r="BJ8" i="6"/>
  <c r="AF207" i="6"/>
  <c r="BT267" i="6"/>
  <c r="BT292" i="6"/>
  <c r="BT18" i="6"/>
  <c r="BT125" i="6"/>
  <c r="Q152" i="6"/>
  <c r="BT153" i="6"/>
  <c r="AU152" i="6"/>
  <c r="AK172" i="6"/>
  <c r="BT304" i="6"/>
  <c r="L278" i="6"/>
  <c r="BT46" i="6"/>
  <c r="V45" i="6"/>
  <c r="AZ45" i="6"/>
  <c r="AK67" i="6"/>
  <c r="BT119" i="6"/>
  <c r="V207" i="6"/>
  <c r="AZ207" i="6"/>
  <c r="BT244" i="6"/>
  <c r="AF13" i="6"/>
  <c r="AF33" i="6"/>
  <c r="BT34" i="6"/>
  <c r="Q39" i="6"/>
  <c r="BT40" i="6"/>
  <c r="BT84" i="6"/>
  <c r="BT28" i="6"/>
  <c r="L27" i="6"/>
  <c r="AP13" i="6"/>
  <c r="AP27" i="6"/>
  <c r="BT15" i="6"/>
  <c r="BT104" i="6"/>
  <c r="Q157" i="6"/>
  <c r="AU157" i="6"/>
  <c r="AK56" i="6"/>
  <c r="BT73" i="6"/>
  <c r="BT132" i="6"/>
  <c r="L131" i="6"/>
  <c r="V162" i="6"/>
  <c r="BE162" i="6"/>
  <c r="AK13" i="6"/>
  <c r="BT22" i="6"/>
  <c r="V21" i="6"/>
  <c r="AZ21" i="6"/>
  <c r="L13" i="6"/>
  <c r="BT52" i="6"/>
  <c r="L51" i="6"/>
  <c r="AZ51" i="6"/>
  <c r="BT14" i="6"/>
  <c r="BT16" i="6"/>
  <c r="BT94" i="6"/>
  <c r="AA152" i="6"/>
  <c r="AF167" i="6"/>
  <c r="BT168" i="6"/>
  <c r="BT208" i="6"/>
  <c r="BT210" i="6"/>
  <c r="AU67" i="6"/>
  <c r="AA157" i="6"/>
  <c r="BE157" i="6"/>
  <c r="BT213" i="6"/>
  <c r="Q278" i="6"/>
  <c r="BT318" i="6"/>
  <c r="BT68" i="6"/>
  <c r="BT115" i="6"/>
  <c r="AF162" i="6"/>
  <c r="AK162" i="6"/>
  <c r="AP167" i="6"/>
  <c r="BT173" i="6"/>
  <c r="BT262" i="6"/>
  <c r="BO277" i="6"/>
  <c r="BE278" i="6"/>
  <c r="AK21" i="6"/>
  <c r="AA27" i="6"/>
  <c r="BE27" i="6"/>
  <c r="Q33" i="6"/>
  <c r="AU33" i="6"/>
  <c r="AF39" i="6"/>
  <c r="AK45" i="6"/>
  <c r="AA51" i="6"/>
  <c r="V56" i="6"/>
  <c r="AZ56" i="6"/>
  <c r="BT61" i="6"/>
  <c r="BT78" i="6"/>
  <c r="BT89" i="6"/>
  <c r="BT99" i="6"/>
  <c r="BT109" i="6"/>
  <c r="BT148" i="6"/>
  <c r="AK152" i="6"/>
  <c r="BT218" i="6"/>
  <c r="BT239" i="6"/>
  <c r="Q13" i="6"/>
  <c r="AU13" i="6"/>
  <c r="AP21" i="6"/>
  <c r="AF27" i="6"/>
  <c r="V33" i="6"/>
  <c r="AZ33" i="6"/>
  <c r="AP45" i="6"/>
  <c r="AA56" i="6"/>
  <c r="BE56" i="6"/>
  <c r="BT57" i="6"/>
  <c r="AK114" i="6"/>
  <c r="BT142" i="6"/>
  <c r="BE152" i="6"/>
  <c r="AK157" i="6"/>
  <c r="BT158" i="6"/>
  <c r="BT163" i="6"/>
  <c r="G207" i="6"/>
  <c r="AK207" i="6"/>
  <c r="BO207" i="6"/>
  <c r="BT256" i="6"/>
  <c r="BT209" i="6"/>
  <c r="AU278" i="6"/>
  <c r="BT211" i="6"/>
  <c r="BT280" i="6"/>
  <c r="BT298" i="6"/>
  <c r="BT336" i="6"/>
  <c r="BT295" i="6"/>
  <c r="BT308" i="6"/>
  <c r="BT327" i="6"/>
  <c r="BT234" i="6"/>
  <c r="BT272" i="6"/>
  <c r="G277" i="6"/>
  <c r="AZ307" i="6"/>
  <c r="AP277" i="6"/>
  <c r="BT286" i="6"/>
  <c r="V307" i="6"/>
  <c r="BT324" i="6"/>
  <c r="BT333" i="6"/>
  <c r="BJ307" i="6"/>
  <c r="R13" i="4"/>
  <c r="CB14" i="4"/>
  <c r="AQ106" i="4"/>
  <c r="AQ84" i="4"/>
  <c r="AV13" i="4"/>
  <c r="AL101" i="4"/>
  <c r="AL84" i="4"/>
  <c r="BP84" i="4"/>
  <c r="BU87" i="4"/>
  <c r="BK101" i="4"/>
  <c r="BF44" i="4"/>
  <c r="M84" i="4"/>
  <c r="BU91" i="4"/>
  <c r="R101" i="4"/>
  <c r="H23" i="4"/>
  <c r="CB24" i="4"/>
  <c r="M101" i="4"/>
  <c r="W44" i="4"/>
  <c r="BA44" i="4"/>
  <c r="AQ83" i="4"/>
  <c r="BK94" i="4"/>
  <c r="W35" i="4"/>
  <c r="W106" i="4" s="1"/>
  <c r="W107" i="4"/>
  <c r="BP111" i="4"/>
  <c r="BP39" i="4"/>
  <c r="BP110" i="4" s="1"/>
  <c r="AG13" i="4"/>
  <c r="BK13" i="4"/>
  <c r="BK23" i="4"/>
  <c r="BK93" i="4" s="1"/>
  <c r="AL24" i="4"/>
  <c r="BP24" i="4"/>
  <c r="H52" i="4"/>
  <c r="H44" i="4" s="1"/>
  <c r="AL52" i="4"/>
  <c r="BP52" i="4"/>
  <c r="BP44" i="4" s="1"/>
  <c r="CB57" i="4"/>
  <c r="BU98" i="4"/>
  <c r="R102" i="4"/>
  <c r="AG107" i="4"/>
  <c r="AL108" i="4"/>
  <c r="AG94" i="4"/>
  <c r="BF101" i="4"/>
  <c r="AL111" i="4"/>
  <c r="AL39" i="4"/>
  <c r="AL110" i="4" s="1"/>
  <c r="CB46" i="4"/>
  <c r="AL13" i="4"/>
  <c r="BP13" i="4"/>
  <c r="BU14" i="4"/>
  <c r="CB15" i="4"/>
  <c r="M24" i="4"/>
  <c r="AQ24" i="4"/>
  <c r="BU24" i="4"/>
  <c r="AB98" i="4"/>
  <c r="BF98" i="4"/>
  <c r="CB27" i="4"/>
  <c r="CB30" i="4"/>
  <c r="AB102" i="4"/>
  <c r="BF102" i="4"/>
  <c r="CB31" i="4"/>
  <c r="AG103" i="4"/>
  <c r="BK103" i="4"/>
  <c r="BF106" i="4"/>
  <c r="AG106" i="4"/>
  <c r="BK106" i="4"/>
  <c r="M108" i="4"/>
  <c r="AQ108" i="4"/>
  <c r="BU108" i="4"/>
  <c r="W110" i="4"/>
  <c r="BK110" i="4"/>
  <c r="R39" i="4"/>
  <c r="R110" i="4" s="1"/>
  <c r="R111" i="4"/>
  <c r="AV39" i="4"/>
  <c r="AV110" i="4" s="1"/>
  <c r="AV111" i="4"/>
  <c r="CB39" i="4"/>
  <c r="CB40" i="4"/>
  <c r="CB70" i="4"/>
  <c r="R95" i="4"/>
  <c r="AV102" i="4"/>
  <c r="BK107" i="4"/>
  <c r="BP108" i="4"/>
  <c r="BA35" i="4"/>
  <c r="BA106" i="4" s="1"/>
  <c r="BA107" i="4"/>
  <c r="CB36" i="4"/>
  <c r="CB35" i="4"/>
  <c r="BA110" i="4"/>
  <c r="M13" i="4"/>
  <c r="BU86" i="4"/>
  <c r="AV24" i="4"/>
  <c r="AL99" i="4"/>
  <c r="BP99" i="4"/>
  <c r="R106" i="4"/>
  <c r="AB39" i="4"/>
  <c r="AB110" i="4" s="1"/>
  <c r="BU39" i="4"/>
  <c r="W111" i="4"/>
  <c r="BA111" i="4"/>
  <c r="R52" i="4"/>
  <c r="R44" i="4" s="1"/>
  <c r="AV52" i="4"/>
  <c r="AV44" i="4" s="1"/>
  <c r="W67" i="4"/>
  <c r="BA67" i="4"/>
  <c r="CB68" i="4"/>
  <c r="AB83" i="4"/>
  <c r="R83" i="4"/>
  <c r="AV83" i="4"/>
  <c r="W84" i="4"/>
  <c r="BA84" i="4"/>
  <c r="W24" i="4"/>
  <c r="BA24" i="4"/>
  <c r="AB95" i="4"/>
  <c r="BF95" i="4"/>
  <c r="AG96" i="4"/>
  <c r="BK96" i="4"/>
  <c r="AL98" i="4"/>
  <c r="BP98" i="4"/>
  <c r="AL102" i="4"/>
  <c r="BP102" i="4"/>
  <c r="AB101" i="4"/>
  <c r="M103" i="4"/>
  <c r="AQ103" i="4"/>
  <c r="BU103" i="4"/>
  <c r="AB106" i="4"/>
  <c r="BU106" i="4"/>
  <c r="M107" i="4"/>
  <c r="AQ107" i="4"/>
  <c r="BU107" i="4"/>
  <c r="AG110" i="4"/>
  <c r="AB44" i="4"/>
  <c r="BF83" i="4"/>
  <c r="BW85" i="4"/>
  <c r="AG111" i="4"/>
  <c r="W13" i="4"/>
  <c r="BA13" i="4"/>
  <c r="AB84" i="4"/>
  <c r="BF84" i="4"/>
  <c r="AB24" i="4"/>
  <c r="BF24" i="4"/>
  <c r="AG95" i="4"/>
  <c r="BK95" i="4"/>
  <c r="AL96" i="4"/>
  <c r="BP96" i="4"/>
  <c r="W30" i="4"/>
  <c r="W101" i="4" s="1"/>
  <c r="BA30" i="4"/>
  <c r="BA101" i="4" s="1"/>
  <c r="AB104" i="4"/>
  <c r="BF104" i="4"/>
  <c r="AB108" i="4"/>
  <c r="BF108" i="4"/>
  <c r="AQ39" i="4"/>
  <c r="AQ110" i="4" s="1"/>
  <c r="CB53" i="4"/>
  <c r="AG59" i="4"/>
  <c r="AG44" i="4" s="1"/>
  <c r="BK59" i="4"/>
  <c r="BK44" i="4" s="1"/>
  <c r="BW99" i="4"/>
  <c r="BK111" i="4"/>
  <c r="CB67" i="4"/>
  <c r="BE73" i="3"/>
  <c r="BE77" i="3" s="1"/>
  <c r="BV13" i="3"/>
  <c r="BV31" i="3"/>
  <c r="BV39" i="3"/>
  <c r="BV45" i="3"/>
  <c r="BV46" i="3"/>
  <c r="AA73" i="3"/>
  <c r="AA77" i="3" s="1"/>
  <c r="AI73" i="3"/>
  <c r="AI77" i="3" s="1"/>
  <c r="AP73" i="3"/>
  <c r="AP77" i="3" s="1"/>
  <c r="AX73" i="3"/>
  <c r="AX77" i="3" s="1"/>
  <c r="BN73" i="3"/>
  <c r="BN77" i="3" s="1"/>
  <c r="AH52" i="3"/>
  <c r="AH68" i="3" s="1"/>
  <c r="AH73" i="3" s="1"/>
  <c r="AH77" i="3" s="1"/>
  <c r="BL52" i="3"/>
  <c r="BL68" i="3" s="1"/>
  <c r="BL73" i="3" s="1"/>
  <c r="BL77" i="3" s="1"/>
  <c r="BS59" i="3"/>
  <c r="AR59" i="3"/>
  <c r="BV60" i="3"/>
  <c r="BV62" i="3"/>
  <c r="AC47" i="3"/>
  <c r="BV17" i="3"/>
  <c r="BV32" i="3"/>
  <c r="BV37" i="3"/>
  <c r="AJ73" i="3"/>
  <c r="AJ77" i="3" s="1"/>
  <c r="AQ73" i="3"/>
  <c r="AQ77" i="3" s="1"/>
  <c r="AY73" i="3"/>
  <c r="AY77" i="3" s="1"/>
  <c r="AD68" i="3"/>
  <c r="AD73" i="3" s="1"/>
  <c r="AD77" i="3" s="1"/>
  <c r="BB68" i="3"/>
  <c r="N52" i="3"/>
  <c r="N68" i="3" s="1"/>
  <c r="AR52" i="3"/>
  <c r="BV55" i="3"/>
  <c r="BT59" i="3"/>
  <c r="BL47" i="3"/>
  <c r="BV15" i="3"/>
  <c r="BV26" i="3"/>
  <c r="BV44" i="3"/>
  <c r="V73" i="3"/>
  <c r="V77" i="3" s="1"/>
  <c r="AS73" i="3"/>
  <c r="AS77" i="3" s="1"/>
  <c r="AZ73" i="3"/>
  <c r="AZ77" i="3" s="1"/>
  <c r="BV58" i="3"/>
  <c r="AM47" i="3"/>
  <c r="BV10" i="3"/>
  <c r="BV14" i="3"/>
  <c r="BV19" i="3"/>
  <c r="BV20" i="3"/>
  <c r="BV22" i="3"/>
  <c r="BV23" i="3"/>
  <c r="BV28" i="3"/>
  <c r="BV34" i="3"/>
  <c r="BV35" i="3"/>
  <c r="P73" i="3"/>
  <c r="P77" i="3" s="1"/>
  <c r="AE73" i="3"/>
  <c r="AE77" i="3" s="1"/>
  <c r="S52" i="3"/>
  <c r="S68" i="3" s="1"/>
  <c r="AW52" i="3"/>
  <c r="AW68" i="3" s="1"/>
  <c r="BV67" i="3"/>
  <c r="BQ47" i="3"/>
  <c r="BV21" i="3"/>
  <c r="BV40" i="3"/>
  <c r="BV43" i="3"/>
  <c r="AF73" i="3"/>
  <c r="AF77" i="3" s="1"/>
  <c r="AN73" i="3"/>
  <c r="AN77" i="3" s="1"/>
  <c r="AU73" i="3"/>
  <c r="AU77" i="3" s="1"/>
  <c r="BD73" i="3"/>
  <c r="BD77" i="3" s="1"/>
  <c r="AG68" i="3"/>
  <c r="AG73" i="3" s="1"/>
  <c r="AG77" i="3" s="1"/>
  <c r="BV64" i="3"/>
  <c r="S47" i="3"/>
  <c r="AW47" i="3"/>
  <c r="BS47" i="3"/>
  <c r="F47" i="3"/>
  <c r="F73" i="3" s="1"/>
  <c r="F77" i="3" s="1"/>
  <c r="I11" i="3"/>
  <c r="I47" i="3" s="1"/>
  <c r="I73" i="3" s="1"/>
  <c r="I77" i="3" s="1"/>
  <c r="I27" i="3"/>
  <c r="BV42" i="3"/>
  <c r="BH73" i="3"/>
  <c r="BH77" i="3" s="1"/>
  <c r="BG59" i="3"/>
  <c r="X47" i="3"/>
  <c r="BB47" i="3"/>
  <c r="BT47" i="3"/>
  <c r="BV12" i="3"/>
  <c r="I14" i="3"/>
  <c r="G47" i="3"/>
  <c r="G73" i="3" s="1"/>
  <c r="G77" i="3" s="1"/>
  <c r="BV16" i="3"/>
  <c r="W73" i="3"/>
  <c r="W77" i="3" s="1"/>
  <c r="AK73" i="3"/>
  <c r="AK77" i="3" s="1"/>
  <c r="BI73" i="3"/>
  <c r="BI77" i="3" s="1"/>
  <c r="BF68" i="3"/>
  <c r="BF73" i="3" s="1"/>
  <c r="BF77" i="3" s="1"/>
  <c r="BQ68" i="3"/>
  <c r="BQ73" i="3" s="1"/>
  <c r="BQ77" i="3" s="1"/>
  <c r="AC68" i="3"/>
  <c r="AC73" i="3" s="1"/>
  <c r="AC77" i="3" s="1"/>
  <c r="AM59" i="3"/>
  <c r="AM68" i="3" s="1"/>
  <c r="AM73" i="3" s="1"/>
  <c r="AM77" i="3" s="1"/>
  <c r="BV66" i="3"/>
  <c r="BG7" i="3"/>
  <c r="BG47" i="3" s="1"/>
  <c r="BC47" i="3"/>
  <c r="BC73" i="3" s="1"/>
  <c r="BC77" i="3" s="1"/>
  <c r="BU47" i="3"/>
  <c r="BG68" i="3"/>
  <c r="BT68" i="3"/>
  <c r="BV54" i="3"/>
  <c r="BR52" i="3"/>
  <c r="BR68" i="3" s="1"/>
  <c r="I68" i="3"/>
  <c r="BR7" i="3"/>
  <c r="N47" i="3"/>
  <c r="AR47" i="3"/>
  <c r="BV8" i="3"/>
  <c r="M73" i="3"/>
  <c r="M77" i="3" s="1"/>
  <c r="U73" i="3"/>
  <c r="U77" i="3" s="1"/>
  <c r="BV51" i="3"/>
  <c r="BS52" i="3"/>
  <c r="BV53" i="3"/>
  <c r="X68" i="3"/>
  <c r="BU59" i="3"/>
  <c r="BU57" i="3"/>
  <c r="BV57" i="3" s="1"/>
  <c r="BG15" i="3"/>
  <c r="BK53" i="9" l="1"/>
  <c r="AL54" i="9"/>
  <c r="BT72" i="8"/>
  <c r="BT15" i="8" s="1"/>
  <c r="BT12" i="8" s="1"/>
  <c r="BT167" i="8"/>
  <c r="BT105" i="8" s="1"/>
  <c r="BT102" i="8" s="1"/>
  <c r="BT62" i="8"/>
  <c r="BT14" i="8" s="1"/>
  <c r="AA278" i="6"/>
  <c r="AA277" i="6" s="1"/>
  <c r="AG101" i="4"/>
  <c r="M44" i="4"/>
  <c r="BU44" i="4"/>
  <c r="AL44" i="4"/>
  <c r="BT13" i="6"/>
  <c r="BT12" i="6" s="1"/>
  <c r="BB73" i="3"/>
  <c r="BB77" i="3" s="1"/>
  <c r="BP12" i="9"/>
  <c r="BK81" i="9"/>
  <c r="AG53" i="9"/>
  <c r="BU73" i="9"/>
  <c r="BA12" i="9"/>
  <c r="BA54" i="9"/>
  <c r="AL40" i="9"/>
  <c r="AL81" i="9" s="1"/>
  <c r="AL53" i="9"/>
  <c r="W12" i="9"/>
  <c r="W54" i="9"/>
  <c r="BU40" i="9"/>
  <c r="BU53" i="9"/>
  <c r="BF53" i="9"/>
  <c r="BF40" i="9"/>
  <c r="BF81" i="9" s="1"/>
  <c r="AQ40" i="9"/>
  <c r="AQ81" i="9" s="1"/>
  <c r="AQ53" i="9"/>
  <c r="AV12" i="9"/>
  <c r="AV54" i="9"/>
  <c r="M40" i="9"/>
  <c r="M81" i="9" s="1"/>
  <c r="M53" i="9"/>
  <c r="R12" i="9"/>
  <c r="R54" i="9"/>
  <c r="BU64" i="9"/>
  <c r="AB53" i="9"/>
  <c r="AB40" i="9"/>
  <c r="AB81" i="9" s="1"/>
  <c r="BP40" i="9"/>
  <c r="BP81" i="9" s="1"/>
  <c r="BP53" i="9"/>
  <c r="BE105" i="8"/>
  <c r="AP15" i="8"/>
  <c r="Q15" i="8"/>
  <c r="L14" i="8"/>
  <c r="L13" i="8"/>
  <c r="V105" i="8"/>
  <c r="BJ103" i="8"/>
  <c r="AF17" i="8"/>
  <c r="BE17" i="8"/>
  <c r="BE15" i="8"/>
  <c r="AK14" i="8"/>
  <c r="AK12" i="8" s="1"/>
  <c r="BO104" i="8"/>
  <c r="AF15" i="8"/>
  <c r="AA15" i="8"/>
  <c r="AP105" i="8"/>
  <c r="AP13" i="8"/>
  <c r="AF103" i="8"/>
  <c r="AA17" i="8"/>
  <c r="AU105" i="8"/>
  <c r="Q103" i="8"/>
  <c r="AU14" i="8"/>
  <c r="L103" i="8"/>
  <c r="V13" i="8"/>
  <c r="AZ15" i="8"/>
  <c r="BJ104" i="8"/>
  <c r="BE14" i="8"/>
  <c r="AZ14" i="8"/>
  <c r="Q105" i="8"/>
  <c r="AK104" i="8"/>
  <c r="Q14" i="8"/>
  <c r="L105" i="8"/>
  <c r="AK103" i="8"/>
  <c r="BE103" i="8"/>
  <c r="V15" i="8"/>
  <c r="V14" i="8"/>
  <c r="AZ17" i="8"/>
  <c r="AZ105" i="8"/>
  <c r="AA103" i="8"/>
  <c r="BJ17" i="8"/>
  <c r="Q13" i="8"/>
  <c r="BE104" i="8"/>
  <c r="BO14" i="8"/>
  <c r="AU103" i="8"/>
  <c r="AA104" i="8"/>
  <c r="Q16" i="7"/>
  <c r="BT30" i="7"/>
  <c r="BJ16" i="7"/>
  <c r="AP15" i="7"/>
  <c r="AZ12" i="7"/>
  <c r="AF16" i="7"/>
  <c r="AU15" i="7"/>
  <c r="AU16" i="7"/>
  <c r="AK15" i="7"/>
  <c r="V12" i="7"/>
  <c r="BE12" i="7"/>
  <c r="L16" i="7"/>
  <c r="BO16" i="7"/>
  <c r="BT122" i="7"/>
  <c r="BT65" i="7"/>
  <c r="Q15" i="7"/>
  <c r="AP16" i="7"/>
  <c r="AF8" i="6"/>
  <c r="AU8" i="6"/>
  <c r="BJ10" i="6"/>
  <c r="G9" i="6"/>
  <c r="AK8" i="6"/>
  <c r="BT147" i="6"/>
  <c r="BT114" i="6"/>
  <c r="Q277" i="6"/>
  <c r="BT207" i="6"/>
  <c r="BT131" i="6"/>
  <c r="AA7" i="6"/>
  <c r="BT39" i="6"/>
  <c r="BT45" i="6"/>
  <c r="G8" i="6"/>
  <c r="BT157" i="6"/>
  <c r="BT167" i="6"/>
  <c r="BT21" i="6"/>
  <c r="AF12" i="6"/>
  <c r="V8" i="6"/>
  <c r="AZ278" i="6"/>
  <c r="AZ10" i="6"/>
  <c r="BT307" i="6"/>
  <c r="AU12" i="6"/>
  <c r="AP12" i="6"/>
  <c r="BE7" i="6"/>
  <c r="BT152" i="6"/>
  <c r="AU277" i="6"/>
  <c r="BT56" i="6"/>
  <c r="Q12" i="6"/>
  <c r="BE277" i="6"/>
  <c r="BO9" i="6"/>
  <c r="AK12" i="6"/>
  <c r="V7" i="6"/>
  <c r="V278" i="6"/>
  <c r="V10" i="6"/>
  <c r="BT162" i="6"/>
  <c r="BT51" i="6"/>
  <c r="L277" i="6"/>
  <c r="AP9" i="6"/>
  <c r="BO8" i="6"/>
  <c r="BT172" i="6"/>
  <c r="BT67" i="6"/>
  <c r="L12" i="6"/>
  <c r="BT27" i="6"/>
  <c r="BT33" i="6"/>
  <c r="AZ8" i="6"/>
  <c r="BU101" i="4"/>
  <c r="BW84" i="4"/>
  <c r="CB23" i="4"/>
  <c r="H77" i="4"/>
  <c r="CB52" i="4"/>
  <c r="BF94" i="4"/>
  <c r="BF23" i="4"/>
  <c r="BA94" i="4"/>
  <c r="BA23" i="4"/>
  <c r="BA93" i="4" s="1"/>
  <c r="AQ23" i="4"/>
  <c r="AQ94" i="4"/>
  <c r="CB45" i="4"/>
  <c r="CB44" i="4"/>
  <c r="BP94" i="4"/>
  <c r="BP23" i="4"/>
  <c r="BP93" i="4" s="1"/>
  <c r="CB13" i="4"/>
  <c r="W94" i="4"/>
  <c r="W23" i="4"/>
  <c r="W93" i="4" s="1"/>
  <c r="AV94" i="4"/>
  <c r="AV23" i="4"/>
  <c r="M23" i="4"/>
  <c r="M93" i="4" s="1"/>
  <c r="M94" i="4"/>
  <c r="AL94" i="4"/>
  <c r="AL23" i="4"/>
  <c r="AL93" i="4" s="1"/>
  <c r="R23" i="4"/>
  <c r="BU110" i="4"/>
  <c r="BU13" i="4"/>
  <c r="BU84" i="4"/>
  <c r="BK83" i="4"/>
  <c r="BK77" i="4"/>
  <c r="BA83" i="4"/>
  <c r="M83" i="4"/>
  <c r="AG83" i="4"/>
  <c r="AG77" i="4"/>
  <c r="W77" i="4"/>
  <c r="W83" i="4"/>
  <c r="BU94" i="4"/>
  <c r="BU23" i="4"/>
  <c r="BU93" i="4" s="1"/>
  <c r="AL83" i="4"/>
  <c r="BP83" i="4"/>
  <c r="AB94" i="4"/>
  <c r="AB23" i="4"/>
  <c r="AR68" i="3"/>
  <c r="AR73" i="3" s="1"/>
  <c r="AR77" i="3" s="1"/>
  <c r="BS68" i="3"/>
  <c r="BS73" i="3" s="1"/>
  <c r="BS77" i="3" s="1"/>
  <c r="S73" i="3"/>
  <c r="S77" i="3" s="1"/>
  <c r="N73" i="3"/>
  <c r="N77" i="3" s="1"/>
  <c r="BT73" i="3"/>
  <c r="BT77" i="3" s="1"/>
  <c r="BU68" i="3"/>
  <c r="BU73" i="3" s="1"/>
  <c r="BU77" i="3" s="1"/>
  <c r="AW73" i="3"/>
  <c r="AW77" i="3" s="1"/>
  <c r="BV52" i="3"/>
  <c r="BV59" i="3"/>
  <c r="X73" i="3"/>
  <c r="X77" i="3" s="1"/>
  <c r="BG73" i="3"/>
  <c r="BG77" i="3" s="1"/>
  <c r="BR47" i="3"/>
  <c r="BR73" i="3" s="1"/>
  <c r="BR77" i="3" s="1"/>
  <c r="BV7" i="3"/>
  <c r="BU81" i="9" l="1"/>
  <c r="R53" i="9"/>
  <c r="R40" i="9"/>
  <c r="R81" i="9" s="1"/>
  <c r="W53" i="9"/>
  <c r="W40" i="9"/>
  <c r="W81" i="9" s="1"/>
  <c r="AV40" i="9"/>
  <c r="AV81" i="9" s="1"/>
  <c r="AV53" i="9"/>
  <c r="BA53" i="9"/>
  <c r="BA40" i="9"/>
  <c r="BA81" i="9" s="1"/>
  <c r="BO12" i="8"/>
  <c r="AP102" i="8"/>
  <c r="BE102" i="8"/>
  <c r="AF13" i="8"/>
  <c r="Q12" i="8"/>
  <c r="AA102" i="8"/>
  <c r="AK102" i="8"/>
  <c r="Q102" i="8"/>
  <c r="BO102" i="8"/>
  <c r="L12" i="8"/>
  <c r="AA13" i="8"/>
  <c r="AU12" i="8"/>
  <c r="V102" i="8"/>
  <c r="L102" i="8"/>
  <c r="AZ102" i="8"/>
  <c r="BJ102" i="8"/>
  <c r="AU102" i="8"/>
  <c r="V12" i="8"/>
  <c r="AF102" i="8"/>
  <c r="AP12" i="8"/>
  <c r="BE13" i="8"/>
  <c r="BJ13" i="8"/>
  <c r="AZ13" i="8"/>
  <c r="AU12" i="7"/>
  <c r="BJ12" i="7"/>
  <c r="BT16" i="7"/>
  <c r="AK12" i="7"/>
  <c r="BO12" i="7"/>
  <c r="Q12" i="7"/>
  <c r="BT14" i="7"/>
  <c r="BT15" i="7"/>
  <c r="AP12" i="7"/>
  <c r="L12" i="7"/>
  <c r="AF12" i="7"/>
  <c r="BJ6" i="6"/>
  <c r="AA9" i="6"/>
  <c r="V277" i="6"/>
  <c r="Q7" i="6"/>
  <c r="AU9" i="6"/>
  <c r="BT7" i="6"/>
  <c r="AZ277" i="6"/>
  <c r="AU7" i="6"/>
  <c r="Q9" i="6"/>
  <c r="BT278" i="6"/>
  <c r="G6" i="6"/>
  <c r="L7" i="6"/>
  <c r="AP7" i="6"/>
  <c r="AF7" i="6"/>
  <c r="BT8" i="6"/>
  <c r="L9" i="6"/>
  <c r="BO6" i="6"/>
  <c r="AK7" i="6"/>
  <c r="BE9" i="6"/>
  <c r="M77" i="4"/>
  <c r="BP77" i="4"/>
  <c r="BW83" i="4"/>
  <c r="BW82" i="4" s="1"/>
  <c r="BW81" i="4" s="1"/>
  <c r="BW147" i="4" s="1"/>
  <c r="AL77" i="4"/>
  <c r="AV93" i="4"/>
  <c r="AV77" i="4"/>
  <c r="R93" i="4"/>
  <c r="R77" i="4"/>
  <c r="BF93" i="4"/>
  <c r="BF77" i="4"/>
  <c r="BU83" i="4"/>
  <c r="BU77" i="4"/>
  <c r="CB77" i="4"/>
  <c r="AQ93" i="4"/>
  <c r="AQ77" i="4"/>
  <c r="BA77" i="4"/>
  <c r="AB93" i="4"/>
  <c r="AB77" i="4"/>
  <c r="BV47" i="3"/>
  <c r="BV68" i="3"/>
  <c r="AF12" i="8" l="1"/>
  <c r="BJ12" i="8"/>
  <c r="AZ12" i="8"/>
  <c r="BE12" i="8"/>
  <c r="AA12" i="8"/>
  <c r="BT12" i="7"/>
  <c r="BT277" i="6"/>
  <c r="AZ9" i="6"/>
  <c r="L6" i="6"/>
  <c r="AP6" i="6"/>
  <c r="AA6" i="6"/>
  <c r="AK6" i="6"/>
  <c r="AU6" i="6"/>
  <c r="V9" i="6"/>
  <c r="BE6" i="6"/>
  <c r="AF6" i="6"/>
  <c r="Q6" i="6"/>
  <c r="BV73" i="3"/>
  <c r="BT9" i="6" l="1"/>
  <c r="V6" i="6"/>
  <c r="AZ6" i="6"/>
  <c r="BV77" i="3"/>
  <c r="BT6" i="6" l="1"/>
  <c r="AA138" i="1" l="1"/>
  <c r="O138" i="1"/>
  <c r="N138" i="1"/>
  <c r="K138" i="1"/>
  <c r="I138" i="1"/>
  <c r="AA137" i="1"/>
  <c r="Q137" i="1"/>
  <c r="U137" i="1" s="1"/>
  <c r="AA136" i="1"/>
  <c r="U136" i="1"/>
  <c r="AA135" i="1"/>
  <c r="U135" i="1"/>
  <c r="AA134" i="1"/>
  <c r="U134" i="1"/>
  <c r="AA132" i="1"/>
  <c r="U132" i="1"/>
  <c r="AA131" i="1"/>
  <c r="U131" i="1"/>
  <c r="AA130" i="1"/>
  <c r="U130" i="1"/>
  <c r="AE129" i="1"/>
  <c r="AA129" i="1"/>
  <c r="U129" i="1"/>
  <c r="AE128" i="1"/>
  <c r="AA128" i="1"/>
  <c r="U128" i="1"/>
  <c r="AA127" i="1"/>
  <c r="U127" i="1"/>
  <c r="AA126" i="1"/>
  <c r="U126" i="1"/>
  <c r="AA125" i="1"/>
  <c r="U125" i="1"/>
  <c r="AE124" i="1"/>
  <c r="AA124" i="1"/>
  <c r="U124" i="1"/>
  <c r="U123" i="1"/>
  <c r="AF122" i="1"/>
  <c r="AE122" i="1"/>
  <c r="AE125" i="1" s="1"/>
  <c r="AE126" i="1" s="1"/>
  <c r="AE127" i="1" s="1"/>
  <c r="AA122" i="1"/>
  <c r="U122" i="1"/>
  <c r="AA121" i="1"/>
  <c r="U121" i="1"/>
  <c r="T120" i="1"/>
  <c r="S120" i="1"/>
  <c r="R120" i="1"/>
  <c r="Q120" i="1"/>
  <c r="P120" i="1"/>
  <c r="O120" i="1"/>
  <c r="N120" i="1"/>
  <c r="M120" i="1"/>
  <c r="L120" i="1"/>
  <c r="K120" i="1"/>
  <c r="J120" i="1"/>
  <c r="I120" i="1"/>
  <c r="R119" i="1"/>
  <c r="Q119" i="1"/>
  <c r="P119" i="1"/>
  <c r="O119" i="1"/>
  <c r="N119" i="1"/>
  <c r="M119" i="1"/>
  <c r="L119" i="1"/>
  <c r="K119" i="1"/>
  <c r="J119" i="1"/>
  <c r="AA115" i="1"/>
  <c r="AF114" i="1"/>
  <c r="AE114" i="1"/>
  <c r="AD114" i="1"/>
  <c r="AF113" i="1"/>
  <c r="AE113" i="1"/>
  <c r="AD113" i="1"/>
  <c r="R113" i="1"/>
  <c r="Q113" i="1"/>
  <c r="Q96" i="1" s="1"/>
  <c r="Q80" i="1" s="1"/>
  <c r="P113" i="1"/>
  <c r="O113" i="1"/>
  <c r="O96" i="1" s="1"/>
  <c r="O80" i="1" s="1"/>
  <c r="N113" i="1"/>
  <c r="N96" i="1" s="1"/>
  <c r="N80" i="1" s="1"/>
  <c r="M113" i="1"/>
  <c r="L113" i="1"/>
  <c r="K113" i="1"/>
  <c r="K96" i="1" s="1"/>
  <c r="K80" i="1" s="1"/>
  <c r="J113" i="1"/>
  <c r="I113" i="1"/>
  <c r="AA111" i="1"/>
  <c r="AA110" i="1"/>
  <c r="J110" i="1"/>
  <c r="AA109" i="1"/>
  <c r="AA108" i="1"/>
  <c r="J108" i="1"/>
  <c r="J100" i="1" s="1"/>
  <c r="AA107" i="1"/>
  <c r="AA106" i="1"/>
  <c r="AA105" i="1"/>
  <c r="AA104" i="1"/>
  <c r="AA103" i="1"/>
  <c r="AA102" i="1"/>
  <c r="AA101" i="1"/>
  <c r="R100" i="1"/>
  <c r="N100" i="1"/>
  <c r="L100" i="1"/>
  <c r="L96" i="1" s="1"/>
  <c r="L80" i="1" s="1"/>
  <c r="K100" i="1"/>
  <c r="I100" i="1"/>
  <c r="I96" i="1" s="1"/>
  <c r="I80" i="1" s="1"/>
  <c r="AA99" i="1"/>
  <c r="J99" i="1"/>
  <c r="AA98" i="1"/>
  <c r="AA97" i="1"/>
  <c r="AF96" i="1"/>
  <c r="AE96" i="1"/>
  <c r="AD96" i="1"/>
  <c r="T96" i="1"/>
  <c r="T80" i="1" s="1"/>
  <c r="S96" i="1"/>
  <c r="S80" i="1" s="1"/>
  <c r="P96" i="1"/>
  <c r="P80" i="1" s="1"/>
  <c r="P118" i="1" s="1"/>
  <c r="P117" i="1" s="1"/>
  <c r="M96" i="1"/>
  <c r="M80" i="1" s="1"/>
  <c r="J96" i="1"/>
  <c r="J80" i="1" s="1"/>
  <c r="J118" i="1" s="1"/>
  <c r="J117" i="1" s="1"/>
  <c r="AF95" i="1"/>
  <c r="AE95" i="1"/>
  <c r="AD95" i="1"/>
  <c r="AA95" i="1"/>
  <c r="U95" i="1"/>
  <c r="AF94" i="1"/>
  <c r="AE94" i="1"/>
  <c r="AE115" i="1" s="1"/>
  <c r="AE117" i="1" s="1"/>
  <c r="AE119" i="1" s="1"/>
  <c r="AA94" i="1"/>
  <c r="U94" i="1"/>
  <c r="AA93" i="1"/>
  <c r="AA92" i="1"/>
  <c r="U92" i="1"/>
  <c r="AA91" i="1"/>
  <c r="U91" i="1"/>
  <c r="AA90" i="1"/>
  <c r="J90" i="1"/>
  <c r="U90" i="1" s="1"/>
  <c r="AA89" i="1"/>
  <c r="AA88" i="1"/>
  <c r="U88" i="1"/>
  <c r="AA87" i="1"/>
  <c r="U87" i="1"/>
  <c r="AA86" i="1"/>
  <c r="U86" i="1"/>
  <c r="AA85" i="1"/>
  <c r="U85" i="1"/>
  <c r="J85" i="1"/>
  <c r="AA84" i="1"/>
  <c r="U84" i="1"/>
  <c r="AA83" i="1"/>
  <c r="U83" i="1"/>
  <c r="AA82" i="1"/>
  <c r="J82" i="1"/>
  <c r="U82" i="1" s="1"/>
  <c r="AA81" i="1"/>
  <c r="H80" i="1"/>
  <c r="AA79" i="1"/>
  <c r="AA78" i="1"/>
  <c r="AA76" i="1"/>
  <c r="U76" i="1"/>
  <c r="N74" i="1"/>
  <c r="L74" i="1"/>
  <c r="AA73" i="1"/>
  <c r="U73" i="1"/>
  <c r="U72" i="1" s="1"/>
  <c r="T72" i="1"/>
  <c r="S72" i="1"/>
  <c r="R72" i="1"/>
  <c r="Q72" i="1"/>
  <c r="P72" i="1"/>
  <c r="O72" i="1"/>
  <c r="N72" i="1"/>
  <c r="M72" i="1"/>
  <c r="L72" i="1"/>
  <c r="K72" i="1"/>
  <c r="J72" i="1"/>
  <c r="I72" i="1"/>
  <c r="H72" i="1"/>
  <c r="AA71" i="1"/>
  <c r="U71" i="1"/>
  <c r="AA70" i="1"/>
  <c r="U70" i="1"/>
  <c r="AA69" i="1"/>
  <c r="AA68" i="1"/>
  <c r="U68" i="1"/>
  <c r="AA67" i="1"/>
  <c r="U67" i="1"/>
  <c r="U66" i="1"/>
  <c r="U64" i="1" s="1"/>
  <c r="AA65" i="1"/>
  <c r="T64" i="1"/>
  <c r="S64" i="1"/>
  <c r="R64" i="1"/>
  <c r="Q64" i="1"/>
  <c r="P64" i="1"/>
  <c r="O64" i="1"/>
  <c r="N64" i="1"/>
  <c r="M64" i="1"/>
  <c r="L64" i="1"/>
  <c r="K64" i="1"/>
  <c r="J64" i="1"/>
  <c r="I64" i="1"/>
  <c r="H64" i="1"/>
  <c r="AA63" i="1"/>
  <c r="U63" i="1"/>
  <c r="Z63" i="1" s="1"/>
  <c r="AA62" i="1"/>
  <c r="Z62" i="1"/>
  <c r="AA61" i="1"/>
  <c r="U61" i="1"/>
  <c r="AA60" i="1"/>
  <c r="U60" i="1"/>
  <c r="Z60" i="1" s="1"/>
  <c r="AA59" i="1"/>
  <c r="U59" i="1"/>
  <c r="Z59" i="1" s="1"/>
  <c r="AA58" i="1"/>
  <c r="U58" i="1"/>
  <c r="Z58" i="1" s="1"/>
  <c r="AA57" i="1"/>
  <c r="U57" i="1"/>
  <c r="Z57" i="1" s="1"/>
  <c r="AA56" i="1"/>
  <c r="U56" i="1"/>
  <c r="Z56" i="1" s="1"/>
  <c r="AA55" i="1"/>
  <c r="U55" i="1"/>
  <c r="Z55" i="1" s="1"/>
  <c r="AA54" i="1"/>
  <c r="U54" i="1"/>
  <c r="Z54" i="1" s="1"/>
  <c r="AA53" i="1"/>
  <c r="Z53" i="1"/>
  <c r="AA52" i="1"/>
  <c r="U52" i="1"/>
  <c r="Z52" i="1" s="1"/>
  <c r="AA51" i="1"/>
  <c r="U51" i="1"/>
  <c r="R50" i="1"/>
  <c r="Q50" i="1"/>
  <c r="P50" i="1"/>
  <c r="O50" i="1"/>
  <c r="N50" i="1"/>
  <c r="M50" i="1"/>
  <c r="L50" i="1"/>
  <c r="K50" i="1"/>
  <c r="J50" i="1"/>
  <c r="I50" i="1"/>
  <c r="H50" i="1"/>
  <c r="AA49" i="1"/>
  <c r="AA48" i="1"/>
  <c r="U48" i="1"/>
  <c r="Z48" i="1" s="1"/>
  <c r="AA47" i="1"/>
  <c r="U47" i="1"/>
  <c r="Z47" i="1" s="1"/>
  <c r="AA46" i="1"/>
  <c r="U46" i="1"/>
  <c r="Z46" i="1" s="1"/>
  <c r="AA45" i="1"/>
  <c r="U45" i="1"/>
  <c r="Z45" i="1" s="1"/>
  <c r="AA44" i="1"/>
  <c r="U44" i="1"/>
  <c r="Z44" i="1" s="1"/>
  <c r="AA43" i="1"/>
  <c r="U43" i="1"/>
  <c r="Z43" i="1" s="1"/>
  <c r="AA42" i="1"/>
  <c r="U42" i="1"/>
  <c r="Z42" i="1" s="1"/>
  <c r="AA41" i="1"/>
  <c r="U41" i="1"/>
  <c r="Z41" i="1" s="1"/>
  <c r="AA40" i="1"/>
  <c r="U40" i="1"/>
  <c r="Z40" i="1" s="1"/>
  <c r="AA39" i="1"/>
  <c r="U39" i="1"/>
  <c r="Z39" i="1" s="1"/>
  <c r="AA38" i="1"/>
  <c r="U38" i="1"/>
  <c r="Z38" i="1" s="1"/>
  <c r="T37" i="1"/>
  <c r="T30" i="1" s="1"/>
  <c r="S37" i="1"/>
  <c r="S30" i="1" s="1"/>
  <c r="R37" i="1"/>
  <c r="Q37" i="1"/>
  <c r="P37" i="1"/>
  <c r="O37" i="1"/>
  <c r="N37" i="1"/>
  <c r="M37" i="1"/>
  <c r="L37" i="1"/>
  <c r="K37" i="1"/>
  <c r="J37" i="1"/>
  <c r="I37" i="1"/>
  <c r="H37" i="1"/>
  <c r="AA36" i="1"/>
  <c r="AA35" i="1"/>
  <c r="U35" i="1"/>
  <c r="Z35" i="1" s="1"/>
  <c r="AA34" i="1"/>
  <c r="U34" i="1"/>
  <c r="Z34" i="1" s="1"/>
  <c r="AA33" i="1"/>
  <c r="U33" i="1"/>
  <c r="Z33" i="1" s="1"/>
  <c r="AA32" i="1"/>
  <c r="U32" i="1"/>
  <c r="Z32" i="1" s="1"/>
  <c r="R31" i="1"/>
  <c r="Q31" i="1"/>
  <c r="P31" i="1"/>
  <c r="O31" i="1"/>
  <c r="O30" i="1" s="1"/>
  <c r="N31" i="1"/>
  <c r="M31" i="1"/>
  <c r="L31" i="1"/>
  <c r="K31" i="1"/>
  <c r="J31" i="1"/>
  <c r="I31" i="1"/>
  <c r="I30" i="1" s="1"/>
  <c r="H31" i="1"/>
  <c r="Q30" i="1"/>
  <c r="K30" i="1"/>
  <c r="Z29" i="1"/>
  <c r="AA29" i="1"/>
  <c r="U29" i="1"/>
  <c r="AA23" i="1"/>
  <c r="U28" i="1"/>
  <c r="Z28" i="1" s="1"/>
  <c r="AA27" i="1"/>
  <c r="Z26" i="1"/>
  <c r="AA26" i="1"/>
  <c r="U26" i="1"/>
  <c r="AA25" i="1"/>
  <c r="U25" i="1"/>
  <c r="Z25" i="1" s="1"/>
  <c r="AA24" i="1"/>
  <c r="U23" i="1"/>
  <c r="T23" i="1"/>
  <c r="S23" i="1"/>
  <c r="R23" i="1"/>
  <c r="Q23" i="1"/>
  <c r="P23" i="1"/>
  <c r="O23" i="1"/>
  <c r="N23" i="1"/>
  <c r="M23" i="1"/>
  <c r="L23" i="1"/>
  <c r="K23" i="1"/>
  <c r="J23" i="1"/>
  <c r="I23" i="1"/>
  <c r="H23" i="1"/>
  <c r="AA22" i="1"/>
  <c r="U22" i="1"/>
  <c r="U21" i="1" s="1"/>
  <c r="Z21" i="1" s="1"/>
  <c r="T21" i="1"/>
  <c r="S21" i="1"/>
  <c r="R21" i="1"/>
  <c r="Q21" i="1"/>
  <c r="P21" i="1"/>
  <c r="O21" i="1"/>
  <c r="N21" i="1"/>
  <c r="M21" i="1"/>
  <c r="L21" i="1"/>
  <c r="K21" i="1"/>
  <c r="J21" i="1"/>
  <c r="I21" i="1"/>
  <c r="H21" i="1"/>
  <c r="AA20" i="1"/>
  <c r="U20" i="1"/>
  <c r="Z20" i="1" s="1"/>
  <c r="AA19" i="1"/>
  <c r="R19" i="1"/>
  <c r="Q19" i="1"/>
  <c r="P19" i="1"/>
  <c r="O19" i="1"/>
  <c r="N19" i="1"/>
  <c r="M19" i="1"/>
  <c r="L19" i="1"/>
  <c r="K19" i="1"/>
  <c r="J19" i="1"/>
  <c r="AA18" i="1"/>
  <c r="Z18" i="1"/>
  <c r="AA17" i="1"/>
  <c r="U17" i="1"/>
  <c r="Z17" i="1" s="1"/>
  <c r="AA16" i="1"/>
  <c r="U16" i="1"/>
  <c r="Z16" i="1" s="1"/>
  <c r="AA15" i="1"/>
  <c r="U15" i="1"/>
  <c r="Z15" i="1" s="1"/>
  <c r="AA14" i="1"/>
  <c r="R14" i="1"/>
  <c r="Q14" i="1"/>
  <c r="P14" i="1"/>
  <c r="O14" i="1"/>
  <c r="N14" i="1"/>
  <c r="M14" i="1"/>
  <c r="L14" i="1"/>
  <c r="K14" i="1"/>
  <c r="J14" i="1"/>
  <c r="AA13" i="1"/>
  <c r="Z13" i="1"/>
  <c r="AA12" i="1"/>
  <c r="R12" i="1"/>
  <c r="Q12" i="1"/>
  <c r="P12" i="1"/>
  <c r="O12" i="1"/>
  <c r="N12" i="1"/>
  <c r="M12" i="1"/>
  <c r="L12" i="1"/>
  <c r="K12" i="1"/>
  <c r="U12" i="1" s="1"/>
  <c r="Z12" i="1" s="1"/>
  <c r="J12" i="1"/>
  <c r="R11" i="1"/>
  <c r="Q11" i="1"/>
  <c r="P11" i="1"/>
  <c r="O11" i="1"/>
  <c r="N11" i="1"/>
  <c r="M11" i="1"/>
  <c r="L11" i="1"/>
  <c r="K11" i="1"/>
  <c r="J11" i="1"/>
  <c r="R10" i="1"/>
  <c r="Q10" i="1"/>
  <c r="P10" i="1"/>
  <c r="O10" i="1"/>
  <c r="N10" i="1"/>
  <c r="M10" i="1"/>
  <c r="L10" i="1"/>
  <c r="K10" i="1"/>
  <c r="J10" i="1"/>
  <c r="R9" i="1"/>
  <c r="Q9" i="1"/>
  <c r="P9" i="1"/>
  <c r="O9" i="1"/>
  <c r="N9" i="1"/>
  <c r="M9" i="1"/>
  <c r="L9" i="1"/>
  <c r="K9" i="1"/>
  <c r="J9" i="1"/>
  <c r="R8" i="1"/>
  <c r="Q8" i="1"/>
  <c r="P8" i="1"/>
  <c r="P7" i="1" s="1"/>
  <c r="O8" i="1"/>
  <c r="N8" i="1"/>
  <c r="N7" i="1" s="1"/>
  <c r="N6" i="1" s="1"/>
  <c r="M8" i="1"/>
  <c r="M7" i="1" s="1"/>
  <c r="M6" i="1" s="1"/>
  <c r="L8" i="1"/>
  <c r="K8" i="1"/>
  <c r="J8" i="1"/>
  <c r="T7" i="1"/>
  <c r="T6" i="1" s="1"/>
  <c r="S7" i="1"/>
  <c r="S6" i="1" s="1"/>
  <c r="I7" i="1"/>
  <c r="I6" i="1" s="1"/>
  <c r="I75" i="1" s="1"/>
  <c r="I77" i="1" s="1"/>
  <c r="H7" i="1"/>
  <c r="Q7" i="1" l="1"/>
  <c r="Q6" i="1" s="1"/>
  <c r="Q75" i="1" s="1"/>
  <c r="Q77" i="1" s="1"/>
  <c r="O7" i="1"/>
  <c r="O6" i="1" s="1"/>
  <c r="O75" i="1" s="1"/>
  <c r="O77" i="1" s="1"/>
  <c r="M30" i="1"/>
  <c r="M75" i="1" s="1"/>
  <c r="M77" i="1" s="1"/>
  <c r="M114" i="1" s="1"/>
  <c r="M116" i="1" s="1"/>
  <c r="U138" i="1"/>
  <c r="P6" i="1"/>
  <c r="Z22" i="1"/>
  <c r="U119" i="1"/>
  <c r="Z23" i="1"/>
  <c r="U11" i="1"/>
  <c r="Z11" i="1" s="1"/>
  <c r="U74" i="1"/>
  <c r="U113" i="1"/>
  <c r="R96" i="1"/>
  <c r="R80" i="1" s="1"/>
  <c r="R118" i="1" s="1"/>
  <c r="R117" i="1" s="1"/>
  <c r="S75" i="1"/>
  <c r="S77" i="1" s="1"/>
  <c r="S114" i="1" s="1"/>
  <c r="S116" i="1" s="1"/>
  <c r="T75" i="1"/>
  <c r="T77" i="1" s="1"/>
  <c r="AA28" i="1"/>
  <c r="H30" i="1"/>
  <c r="Z30" i="1" s="1"/>
  <c r="N30" i="1"/>
  <c r="N75" i="1" s="1"/>
  <c r="N77" i="1" s="1"/>
  <c r="N114" i="1" s="1"/>
  <c r="N116" i="1" s="1"/>
  <c r="U50" i="1"/>
  <c r="U37" i="1"/>
  <c r="Z37" i="1" s="1"/>
  <c r="AA119" i="1"/>
  <c r="J30" i="1"/>
  <c r="P30" i="1"/>
  <c r="P75" i="1" s="1"/>
  <c r="P77" i="1" s="1"/>
  <c r="P114" i="1" s="1"/>
  <c r="P116" i="1" s="1"/>
  <c r="P133" i="1" s="1"/>
  <c r="P139" i="1" s="1"/>
  <c r="AA37" i="1"/>
  <c r="Z50" i="1"/>
  <c r="AA100" i="1"/>
  <c r="AA50" i="1"/>
  <c r="AA72" i="1"/>
  <c r="U120" i="1"/>
  <c r="L30" i="1"/>
  <c r="R30" i="1"/>
  <c r="AA8" i="1"/>
  <c r="J7" i="1"/>
  <c r="J6" i="1" s="1"/>
  <c r="J75" i="1" s="1"/>
  <c r="J77" i="1" s="1"/>
  <c r="J114" i="1" s="1"/>
  <c r="J116" i="1" s="1"/>
  <c r="J133" i="1" s="1"/>
  <c r="J139" i="1" s="1"/>
  <c r="U8" i="1"/>
  <c r="AA11" i="1"/>
  <c r="U19" i="1"/>
  <c r="Z19" i="1" s="1"/>
  <c r="L118" i="1"/>
  <c r="L117" i="1" s="1"/>
  <c r="H6" i="1"/>
  <c r="L7" i="1"/>
  <c r="L6" i="1" s="1"/>
  <c r="L75" i="1" s="1"/>
  <c r="L77" i="1" s="1"/>
  <c r="L114" i="1" s="1"/>
  <c r="L116" i="1" s="1"/>
  <c r="L133" i="1" s="1"/>
  <c r="L139" i="1" s="1"/>
  <c r="R7" i="1"/>
  <c r="R6" i="1" s="1"/>
  <c r="R75" i="1" s="1"/>
  <c r="R77" i="1" s="1"/>
  <c r="R114" i="1" s="1"/>
  <c r="R116" i="1" s="1"/>
  <c r="K7" i="1"/>
  <c r="K6" i="1" s="1"/>
  <c r="K75" i="1" s="1"/>
  <c r="K77" i="1" s="1"/>
  <c r="K114" i="1" s="1"/>
  <c r="K116" i="1" s="1"/>
  <c r="U9" i="1"/>
  <c r="Z9" i="1" s="1"/>
  <c r="U10" i="1"/>
  <c r="Z10" i="1" s="1"/>
  <c r="M118" i="1"/>
  <c r="M117" i="1" s="1"/>
  <c r="T118" i="1"/>
  <c r="T117" i="1" s="1"/>
  <c r="T114" i="1"/>
  <c r="T116" i="1" s="1"/>
  <c r="T133" i="1" s="1"/>
  <c r="T139" i="1" s="1"/>
  <c r="AA96" i="1"/>
  <c r="K118" i="1"/>
  <c r="K117" i="1" s="1"/>
  <c r="Q118" i="1"/>
  <c r="Q117" i="1" s="1"/>
  <c r="Q114" i="1"/>
  <c r="Q116" i="1" s="1"/>
  <c r="AA10" i="1"/>
  <c r="U14" i="1"/>
  <c r="Z14" i="1" s="1"/>
  <c r="S118" i="1"/>
  <c r="S117" i="1" s="1"/>
  <c r="AA9" i="1"/>
  <c r="AA66" i="1"/>
  <c r="N118" i="1"/>
  <c r="N117" i="1" s="1"/>
  <c r="AA64" i="1"/>
  <c r="AA74" i="1"/>
  <c r="O118" i="1"/>
  <c r="O117" i="1" s="1"/>
  <c r="O114" i="1"/>
  <c r="O116" i="1" s="1"/>
  <c r="O133" i="1" s="1"/>
  <c r="O139" i="1" s="1"/>
  <c r="I118" i="1"/>
  <c r="I117" i="1" s="1"/>
  <c r="I114" i="1"/>
  <c r="I116" i="1" s="1"/>
  <c r="I133" i="1" s="1"/>
  <c r="I139" i="1" s="1"/>
  <c r="AA113" i="1"/>
  <c r="AA120" i="1"/>
  <c r="AA21" i="1"/>
  <c r="U31" i="1"/>
  <c r="U30" i="1" s="1"/>
  <c r="Z31" i="1" l="1"/>
  <c r="U96" i="1"/>
  <c r="U80" i="1" s="1"/>
  <c r="R133" i="1"/>
  <c r="R139" i="1" s="1"/>
  <c r="Q133" i="1"/>
  <c r="Q139" i="1" s="1"/>
  <c r="K133" i="1"/>
  <c r="K139" i="1" s="1"/>
  <c r="U118" i="1"/>
  <c r="U117" i="1" s="1"/>
  <c r="AD94" i="1"/>
  <c r="AD115" i="1" s="1"/>
  <c r="AD117" i="1" s="1"/>
  <c r="M133" i="1"/>
  <c r="M139" i="1" s="1"/>
  <c r="S133" i="1"/>
  <c r="S139" i="1" s="1"/>
  <c r="N133" i="1"/>
  <c r="N139" i="1" s="1"/>
  <c r="H75" i="1"/>
  <c r="H77" i="1" s="1"/>
  <c r="H114" i="1" s="1"/>
  <c r="AA31" i="1"/>
  <c r="AA30" i="1"/>
  <c r="Z8" i="1"/>
  <c r="U7" i="1"/>
  <c r="U6" i="1" l="1"/>
  <c r="Z7" i="1"/>
  <c r="AA80" i="1"/>
  <c r="AA117" i="1"/>
  <c r="AA118" i="1"/>
  <c r="H116" i="1"/>
  <c r="AA7" i="1"/>
  <c r="U75" i="1" l="1"/>
  <c r="U77" i="1" s="1"/>
  <c r="U114" i="1" s="1"/>
  <c r="U116" i="1" s="1"/>
  <c r="U133" i="1" s="1"/>
  <c r="U139" i="1" s="1"/>
  <c r="Z6" i="1"/>
  <c r="AA75" i="1"/>
  <c r="AA77" i="1" l="1"/>
  <c r="AA114" i="1" l="1"/>
  <c r="AA116" i="1" l="1"/>
  <c r="AA133" i="1" l="1"/>
  <c r="AA139" i="1" l="1"/>
</calcChain>
</file>

<file path=xl/sharedStrings.xml><?xml version="1.0" encoding="utf-8"?>
<sst xmlns="http://schemas.openxmlformats.org/spreadsheetml/2006/main" count="1526" uniqueCount="629">
  <si>
    <t>Table 1 Revenue*</t>
  </si>
  <si>
    <t>2020/21</t>
  </si>
  <si>
    <t>2019/20</t>
  </si>
  <si>
    <t>Revised</t>
  </si>
  <si>
    <t>April</t>
  </si>
  <si>
    <t>May</t>
  </si>
  <si>
    <t>June</t>
  </si>
  <si>
    <t>July</t>
  </si>
  <si>
    <t>August</t>
  </si>
  <si>
    <t>September</t>
  </si>
  <si>
    <t>October</t>
  </si>
  <si>
    <t>November</t>
  </si>
  <si>
    <t>December</t>
  </si>
  <si>
    <t>January</t>
  </si>
  <si>
    <t>February</t>
  </si>
  <si>
    <t>March</t>
  </si>
  <si>
    <t>Year to date</t>
  </si>
  <si>
    <t>R thousand</t>
  </si>
  <si>
    <t>estimate</t>
  </si>
  <si>
    <t xml:space="preserve">Taxes on income and profits </t>
  </si>
  <si>
    <t>Personal income tax</t>
  </si>
  <si>
    <t>Provisional tax, assessment payments and penalties</t>
  </si>
  <si>
    <t>Employees tax</t>
  </si>
  <si>
    <t>ETI credit - refunds granted against PAYE payment</t>
  </si>
  <si>
    <t>ETI credit - refunds</t>
  </si>
  <si>
    <t>PIT refunds</t>
  </si>
  <si>
    <t>Tax on corporate income</t>
  </si>
  <si>
    <t>Corporate income tax</t>
  </si>
  <si>
    <t>Secondary tax on companies</t>
  </si>
  <si>
    <t>Withholding tax on dividends</t>
  </si>
  <si>
    <t>Withholding tax on Interest</t>
  </si>
  <si>
    <t>Other</t>
  </si>
  <si>
    <t>Interest on overdue income tax</t>
  </si>
  <si>
    <t>Small business tax amnesty</t>
  </si>
  <si>
    <t>Taxes on payroll and workforce</t>
  </si>
  <si>
    <t xml:space="preserve">Skills development levy  </t>
  </si>
  <si>
    <t>Taxes on property</t>
  </si>
  <si>
    <t>Estate, inheritance and gift taxes</t>
  </si>
  <si>
    <t>Donations tax</t>
  </si>
  <si>
    <t xml:space="preserve">Estate duty </t>
  </si>
  <si>
    <t>Taxes on financial and capital transactions</t>
  </si>
  <si>
    <t>Securities transfer tax</t>
  </si>
  <si>
    <t>Transfer duties</t>
  </si>
  <si>
    <t>Taxes on goods and services</t>
  </si>
  <si>
    <t xml:space="preserve">Value-added tax </t>
  </si>
  <si>
    <t>Domestic VAT</t>
  </si>
  <si>
    <t>Import VAT</t>
  </si>
  <si>
    <t>Refunds</t>
  </si>
  <si>
    <t>Turnover tax for small businesses</t>
  </si>
  <si>
    <t>Specific excise duties</t>
  </si>
  <si>
    <t>Beer</t>
  </si>
  <si>
    <t>Sorghum beer and sorghum flour</t>
  </si>
  <si>
    <t>Wine and other fermented beverages</t>
  </si>
  <si>
    <t>Spirits</t>
  </si>
  <si>
    <t>Cigarettes and cigarette tobacco</t>
  </si>
  <si>
    <t>Pipe tobacco and cigars</t>
  </si>
  <si>
    <t>Petroleum products</t>
  </si>
  <si>
    <t>1)</t>
  </si>
  <si>
    <t>Revenue from neighbouring countries</t>
  </si>
  <si>
    <t>2)</t>
  </si>
  <si>
    <t>Ad valorem excise duties</t>
  </si>
  <si>
    <t>Health promotion levy</t>
  </si>
  <si>
    <t>General fuel levy</t>
  </si>
  <si>
    <t>Of which:</t>
  </si>
  <si>
    <t xml:space="preserve">    Carbon fuel levy</t>
  </si>
  <si>
    <t xml:space="preserve">      CFL Domestic</t>
  </si>
  <si>
    <t xml:space="preserve">      CFL Imported</t>
  </si>
  <si>
    <t>Taxes on use of goods and on permission to use goods or perform activities</t>
  </si>
  <si>
    <t>Air departure tax</t>
  </si>
  <si>
    <t>Plastic bag levy</t>
  </si>
  <si>
    <t>Electricity levy</t>
  </si>
  <si>
    <t>Incandescent light bulb levy</t>
  </si>
  <si>
    <t>CO₂ tax - motor vehicle emissions</t>
  </si>
  <si>
    <t>Tyre levy</t>
  </si>
  <si>
    <t>International Oil Pollution Compensation Fund</t>
  </si>
  <si>
    <t>Carbon tax</t>
  </si>
  <si>
    <t>Universal Service Fund</t>
  </si>
  <si>
    <t>Taxes on international trade and transactions</t>
  </si>
  <si>
    <t>Import duties</t>
  </si>
  <si>
    <t>Customs duties</t>
  </si>
  <si>
    <t xml:space="preserve">Specific excise duties on imports </t>
  </si>
  <si>
    <t>Health promotion levy on imports</t>
  </si>
  <si>
    <t>Miscellaneous customs and excise receipts</t>
  </si>
  <si>
    <t>Diamond export duties</t>
  </si>
  <si>
    <t>Other taxes</t>
  </si>
  <si>
    <t>Stamp duties and fees</t>
  </si>
  <si>
    <t>State miscellaneous revenue</t>
  </si>
  <si>
    <t>3)</t>
  </si>
  <si>
    <t>Total tax revenue (gross)</t>
  </si>
  <si>
    <t>Less: SACU payments</t>
  </si>
  <si>
    <t>4)</t>
  </si>
  <si>
    <t>Total tax revenue (net of SACU payments)</t>
  </si>
  <si>
    <t>Departmental revenue</t>
  </si>
  <si>
    <t>Sales of goods and services other than capital assets</t>
  </si>
  <si>
    <t>Sales by market establishments</t>
  </si>
  <si>
    <t>Non-tax receipts</t>
  </si>
  <si>
    <t>Administrative fees</t>
  </si>
  <si>
    <t>Other sales</t>
  </si>
  <si>
    <t>Selling of scrap or waste and other used current goods</t>
  </si>
  <si>
    <t>Transfers received</t>
  </si>
  <si>
    <t>Fines penalties and forfeits</t>
  </si>
  <si>
    <t>Interest, dividends and rent on land</t>
  </si>
  <si>
    <t>Interest</t>
  </si>
  <si>
    <t>Dividends</t>
  </si>
  <si>
    <t>Rent on land</t>
  </si>
  <si>
    <t xml:space="preserve">  Of which:</t>
  </si>
  <si>
    <t>SEC 32/TB</t>
  </si>
  <si>
    <t>SARS AFS</t>
  </si>
  <si>
    <t xml:space="preserve"> Mineral and petroleum royalties</t>
  </si>
  <si>
    <t>Sales of capital assets</t>
  </si>
  <si>
    <t>Financial transactions in assets and liabilities</t>
  </si>
  <si>
    <t>Recoveries of accrued revenue</t>
  </si>
  <si>
    <t>Recovery of loans</t>
  </si>
  <si>
    <t>Accounts receivable</t>
  </si>
  <si>
    <t>Other receipts</t>
  </si>
  <si>
    <t>Forex gains</t>
  </si>
  <si>
    <t>Arrear wages income</t>
  </si>
  <si>
    <t>Cash surpluses</t>
  </si>
  <si>
    <t>Deposits on accommodation</t>
  </si>
  <si>
    <t>Deposits abroad</t>
  </si>
  <si>
    <t>Breach of contracts</t>
  </si>
  <si>
    <t>Recovery of payments made</t>
  </si>
  <si>
    <t>Recovery of previous years' expenditure</t>
  </si>
  <si>
    <t>Stale cheques</t>
  </si>
  <si>
    <t>Unallocated credits</t>
  </si>
  <si>
    <t>Unclaimed security deposits</t>
  </si>
  <si>
    <t>NRF receipts</t>
  </si>
  <si>
    <t>5)</t>
  </si>
  <si>
    <t>Total national government revenue</t>
  </si>
  <si>
    <t>Reconciliation to total net revenue and revenue collected on Table 4</t>
  </si>
  <si>
    <t>Nett Revenue for the year</t>
  </si>
  <si>
    <t>Transfer to NRF as per SARS AFS</t>
  </si>
  <si>
    <t>1 430 441 906</t>
  </si>
  <si>
    <t>Departmental revenue received but not yet paid to NRF</t>
  </si>
  <si>
    <t>Due to NRF</t>
  </si>
  <si>
    <t>Departmental revenue collected</t>
  </si>
  <si>
    <t>intransit prior year</t>
  </si>
  <si>
    <t>Departmental revenue received by the NRF</t>
  </si>
  <si>
    <t xml:space="preserve">intransit current year </t>
  </si>
  <si>
    <t>Other revenue received by the NRF</t>
  </si>
  <si>
    <t>6)</t>
  </si>
  <si>
    <t xml:space="preserve">  ICASA</t>
  </si>
  <si>
    <t>NRF AFS</t>
  </si>
  <si>
    <t xml:space="preserve">  Financial Intelligence Centre Act</t>
  </si>
  <si>
    <t xml:space="preserve">  SARB Brightrock life penalty</t>
  </si>
  <si>
    <t xml:space="preserve">  Proceeds of organised Crime Act</t>
  </si>
  <si>
    <t>other revenue</t>
  </si>
  <si>
    <t xml:space="preserve">  Asset Forfeiture Unit</t>
  </si>
  <si>
    <t xml:space="preserve">  DTI Various entities</t>
  </si>
  <si>
    <t>total revenue collected</t>
  </si>
  <si>
    <t xml:space="preserve">  Competition Commission</t>
  </si>
  <si>
    <t xml:space="preserve">  Refund Police</t>
  </si>
  <si>
    <t>nrf receipts</t>
  </si>
  <si>
    <t xml:space="preserve">  Refund Correctional Services</t>
  </si>
  <si>
    <t>cara payment</t>
  </si>
  <si>
    <t>Revenue collected on behalf of the Provincial Authorities</t>
  </si>
  <si>
    <t>Revenue collected on behalf of the RAF</t>
  </si>
  <si>
    <t>Revenue collected on behalf of the UIF</t>
  </si>
  <si>
    <t>Total net revenue</t>
  </si>
  <si>
    <t>Cash balance NRF</t>
  </si>
  <si>
    <t>Provincial revenue collected by SARS and transferred by NRF</t>
  </si>
  <si>
    <t>Direct transfer from NRF to the RAF</t>
  </si>
  <si>
    <t>Direct transfer from NRF to the UIF</t>
  </si>
  <si>
    <t>CARA added as part of cash revenue in Table 4</t>
  </si>
  <si>
    <t>Revenue collected according to Table 4</t>
  </si>
  <si>
    <t>1) Specific excise duties on petrol, distillate fuel, residual fuel and base oil.</t>
  </si>
  <si>
    <t>2) Excise duties collected by Botswana, Lesotho, Namibia and Eswatini.</t>
  </si>
  <si>
    <t>3) Revenue received by SARS in respect of taxation that could not be allocated to specific revenue types.</t>
  </si>
  <si>
    <t>4) Payments in terms of SACU agreements.</t>
  </si>
  <si>
    <t>5) NRF receipts (previously classified as extra ordinary receipts), for more details see Table 5.</t>
  </si>
  <si>
    <t>6) Other revenue received by the NRF that is not classified as Departmental Revenue.</t>
  </si>
  <si>
    <t>*) Any negative amounts reflect refunds and reclassification of previous recorded amounts. Reclassification will be reflected on the database.</t>
  </si>
  <si>
    <t>Table 2 Expenditure by national vote*</t>
  </si>
  <si>
    <t xml:space="preserve">                                                                                                                                                                                                       </t>
  </si>
  <si>
    <t>Revised estimate</t>
  </si>
  <si>
    <t>Current</t>
  </si>
  <si>
    <t>Transfers and</t>
  </si>
  <si>
    <t>Payments for</t>
  </si>
  <si>
    <t xml:space="preserve">Payments for </t>
  </si>
  <si>
    <t>Total</t>
  </si>
  <si>
    <t xml:space="preserve">Payments  for </t>
  </si>
  <si>
    <t>payments</t>
  </si>
  <si>
    <t>subsidies</t>
  </si>
  <si>
    <t>capital assets</t>
  </si>
  <si>
    <t>financial assets</t>
  </si>
  <si>
    <t>The Presidency</t>
  </si>
  <si>
    <t>Parliament</t>
  </si>
  <si>
    <t xml:space="preserve">Cooperative Governance </t>
  </si>
  <si>
    <t>Government Communication and Information System</t>
  </si>
  <si>
    <t>Home Affairs</t>
  </si>
  <si>
    <t>International Relations and Cooperation</t>
  </si>
  <si>
    <t>National School of Government</t>
  </si>
  <si>
    <t xml:space="preserve">National Treasury                                               </t>
  </si>
  <si>
    <t>Planning, Monitoring and Evaluation</t>
  </si>
  <si>
    <t>Public Enterprises</t>
  </si>
  <si>
    <t>Public Service and Administration</t>
  </si>
  <si>
    <t>Public Service Commission</t>
  </si>
  <si>
    <t>Public Works and Infrastructure</t>
  </si>
  <si>
    <t>Statistics South Africa</t>
  </si>
  <si>
    <t>Traditional Affairs</t>
  </si>
  <si>
    <t>Basic Education</t>
  </si>
  <si>
    <t>Higher Education and Training</t>
  </si>
  <si>
    <t>Health</t>
  </si>
  <si>
    <t>Social Development</t>
  </si>
  <si>
    <t>Women,Youth and persons with Disabilities</t>
  </si>
  <si>
    <t>Civilian secretariat for the Police Services</t>
  </si>
  <si>
    <t>Correctional Services</t>
  </si>
  <si>
    <t xml:space="preserve">Defence </t>
  </si>
  <si>
    <t>Independent Police Investigative Directorate</t>
  </si>
  <si>
    <t>Justice and Constitutional Development</t>
  </si>
  <si>
    <t>Military Veterans</t>
  </si>
  <si>
    <t xml:space="preserve">Office of the Chief Justice </t>
  </si>
  <si>
    <t>Police</t>
  </si>
  <si>
    <t>Agriculture, Land Reform and Rural Development</t>
  </si>
  <si>
    <t>Communications and Digital Technologies</t>
  </si>
  <si>
    <t>Employment and Labour</t>
  </si>
  <si>
    <t>Environment, Forestry and Fisheries</t>
  </si>
  <si>
    <t>Human Settlements</t>
  </si>
  <si>
    <t>Mineral Resources and Energy</t>
  </si>
  <si>
    <t>Science and Innovation</t>
  </si>
  <si>
    <t>Small Business Development</t>
  </si>
  <si>
    <t>Sports, Arts and Culture</t>
  </si>
  <si>
    <t>Tourism</t>
  </si>
  <si>
    <t>Trade, Industry and Competition</t>
  </si>
  <si>
    <t>Transport</t>
  </si>
  <si>
    <t>Water and Sanitation</t>
  </si>
  <si>
    <t>Total appropriation by vote</t>
  </si>
  <si>
    <t>Plus:</t>
  </si>
  <si>
    <t>Direct charges against the NRF</t>
  </si>
  <si>
    <t>President and Deputy President salaries (The Presidency)</t>
  </si>
  <si>
    <t>Members' remuneration (Parliament)</t>
  </si>
  <si>
    <t>Debt-service costs (National Treasury)</t>
  </si>
  <si>
    <t>Other cost</t>
  </si>
  <si>
    <t>Provincial equitable share (National Treasury)</t>
  </si>
  <si>
    <t>General fuel levy sharing with metropolitan municipalities (National Treasury)</t>
  </si>
  <si>
    <t>NRF payments (National Treasury)</t>
  </si>
  <si>
    <t>Auditor-General of South Africa</t>
  </si>
  <si>
    <t>Other payments</t>
  </si>
  <si>
    <t>Payments in terms of section 70 of the PFMA</t>
  </si>
  <si>
    <t xml:space="preserve">South African Express Airways </t>
  </si>
  <si>
    <t>Land and Agricultural Development Bank of SA</t>
  </si>
  <si>
    <t>Payments in terms of Section 6(1)(b) of the Appropriation act 2020</t>
  </si>
  <si>
    <t>South African Airways</t>
  </si>
  <si>
    <t>Skills levy and sector education and training authorities (Higher Education and Training)</t>
  </si>
  <si>
    <t>Magistrates' salaries (Justice and Constitutional Development)</t>
  </si>
  <si>
    <t>Judges' salaries (Office of the Chief Justice and Judicial Administration)</t>
  </si>
  <si>
    <t>International Oil Pollution Compensation Fund (Transport)</t>
  </si>
  <si>
    <t>Total direct charges against the NRF</t>
  </si>
  <si>
    <t>National government projected underspending</t>
  </si>
  <si>
    <t>Main budget expenditure</t>
  </si>
  <si>
    <t>1) Reflects monthly requested funds.</t>
  </si>
  <si>
    <t>2) In terms of Disaster Management Act as declared by the President, social grant payments for April 2020 were paid in March 2020.</t>
  </si>
  <si>
    <t>3) NRF payments (previously classified as extra ordinary payments), for more details see Table 5.</t>
  </si>
  <si>
    <t>4) The Minister of Finance approved these payments in terms of Section 70 of the PFMA. For SA Express Airways the payment was made by the Department of Public Enterprise and for Land Bank by the National Treasury.</t>
  </si>
  <si>
    <t>5) The payment has been allocated to the Department of Public Enterprise as per the the Second Adjustment Appropriation Act..</t>
  </si>
  <si>
    <t>*) Any negative amounts reflected against the votes indicate the reallocation of spending to the correct economic classification.</t>
  </si>
  <si>
    <t>Audited outcome**</t>
  </si>
  <si>
    <t>Communications</t>
  </si>
  <si>
    <t>Cooperative Governance and Traditional Affairs</t>
  </si>
  <si>
    <t>Public Works</t>
  </si>
  <si>
    <t>Women</t>
  </si>
  <si>
    <t>Defence and Military Veterans</t>
  </si>
  <si>
    <t>Office of the Chief Justice and Judicial Administration</t>
  </si>
  <si>
    <t>Agriculture, Forestry and Fisheries</t>
  </si>
  <si>
    <t>Economic Development</t>
  </si>
  <si>
    <t>Energy</t>
  </si>
  <si>
    <t>Environmental Affairs</t>
  </si>
  <si>
    <t>Labour</t>
  </si>
  <si>
    <t>Mineral Resources</t>
  </si>
  <si>
    <t>Science and Technology</t>
  </si>
  <si>
    <t>Telecommunications and Postal Services</t>
  </si>
  <si>
    <t>Trade and Industry</t>
  </si>
  <si>
    <t>Arts and Culture</t>
  </si>
  <si>
    <t>Rural Development and Land Reform</t>
  </si>
  <si>
    <t>Sport and Recreation South Africa</t>
  </si>
  <si>
    <t>Eskom - payment in terms of Section 16(1) of the PFMA</t>
  </si>
  <si>
    <t>Payments in terms of Section 6(1)(b) of the Appropriation act 2019</t>
  </si>
  <si>
    <t xml:space="preserve">South African Airways </t>
  </si>
  <si>
    <t>South African Express Airways</t>
  </si>
  <si>
    <t xml:space="preserve">Denel </t>
  </si>
  <si>
    <t>SABC</t>
  </si>
  <si>
    <t>Provisional allocation for contingencies not assigned to votes</t>
  </si>
  <si>
    <t>Infrastructure fund not assigned to votes</t>
  </si>
  <si>
    <t xml:space="preserve">Provisional allocation for Eskom restructuring </t>
  </si>
  <si>
    <t>Compensation of employess and other baseline adjustments</t>
  </si>
  <si>
    <t>2) NRF payments (previously classified as extra ordinary payments), for more details see Table 5.</t>
  </si>
  <si>
    <t>3) Payment has been allocated to Public Enterprise (Vote 9).</t>
  </si>
  <si>
    <t>3) The Minister of Finance approved South African Airways, South African Express Airways Denel and SABC payments in terms of Section 6(1)(b) of the Appropriation act 2019. These payments are made by Public Enterprise.</t>
  </si>
  <si>
    <t>**) Audited outcome except Debt-service costs.</t>
  </si>
  <si>
    <t>Table 3  Summary table of borrowing</t>
  </si>
  <si>
    <t>Table</t>
  </si>
  <si>
    <t>Domestic short-term loans (net)</t>
  </si>
  <si>
    <t xml:space="preserve">  Treasury bills</t>
  </si>
  <si>
    <t>Shorter than 91 days</t>
  </si>
  <si>
    <t>91 days</t>
  </si>
  <si>
    <t>182 days</t>
  </si>
  <si>
    <t>273 days</t>
  </si>
  <si>
    <t>364 days</t>
  </si>
  <si>
    <t>Corporation for Public Deposits</t>
  </si>
  <si>
    <t>Domestic long-term loans (net)</t>
  </si>
  <si>
    <t xml:space="preserve">   Loans issued for financing (net)</t>
  </si>
  <si>
    <t xml:space="preserve">      Loans issued (gross)</t>
  </si>
  <si>
    <t>4.1</t>
  </si>
  <si>
    <t xml:space="preserve">      Discount</t>
  </si>
  <si>
    <t xml:space="preserve">      Scheduled redemptions</t>
  </si>
  <si>
    <t>4.2</t>
  </si>
  <si>
    <t xml:space="preserve">      Buy-backs (excluding book profit)</t>
  </si>
  <si>
    <t xml:space="preserve">   Loans issued for switches (net)</t>
  </si>
  <si>
    <t xml:space="preserve">     Loans issued (gross)</t>
  </si>
  <si>
    <t xml:space="preserve">     Discount</t>
  </si>
  <si>
    <t xml:space="preserve">     Loans switched (excluding book profit)</t>
  </si>
  <si>
    <t xml:space="preserve">   Loans issued for repo's (net)</t>
  </si>
  <si>
    <t xml:space="preserve">     Repo out</t>
  </si>
  <si>
    <t xml:space="preserve">     Repo in</t>
  </si>
  <si>
    <t xml:space="preserve">   Loans issued for extraordinary purposes (net)                                   </t>
  </si>
  <si>
    <t>Foreign long-term loans (net)</t>
  </si>
  <si>
    <t>4.3</t>
  </si>
  <si>
    <t xml:space="preserve">      Rand value at date of issue</t>
  </si>
  <si>
    <t xml:space="preserve">      Revaluation</t>
  </si>
  <si>
    <t xml:space="preserve">      Loans switched (excluding book profit)</t>
  </si>
  <si>
    <t xml:space="preserve">       Rand value at date of issue</t>
  </si>
  <si>
    <t xml:space="preserve">       Revaluation</t>
  </si>
  <si>
    <t xml:space="preserve">   Loans issued for buy-backs (net)</t>
  </si>
  <si>
    <t>Change in cash and other balances</t>
  </si>
  <si>
    <t>4.4</t>
  </si>
  <si>
    <t xml:space="preserve">    Change in cash balances</t>
  </si>
  <si>
    <t xml:space="preserve">    Outstanding transfers from the Exchequer to PMG Accounts</t>
  </si>
  <si>
    <t>Cash flow adjustment</t>
  </si>
  <si>
    <t xml:space="preserve">    Surrenders</t>
  </si>
  <si>
    <t xml:space="preserve">    Late requests</t>
  </si>
  <si>
    <t xml:space="preserve">    Reconciliation between actual revenue and actual expenditure against NRF flows</t>
  </si>
  <si>
    <t>Total borrowing</t>
  </si>
  <si>
    <t xml:space="preserve">Table 3.1 Issuance of domestic long-term loans </t>
  </si>
  <si>
    <t>Domestic long-term loans (gross)</t>
  </si>
  <si>
    <t xml:space="preserve">  Loans issued for financing</t>
  </si>
  <si>
    <t xml:space="preserve">  Loans issued for switches</t>
  </si>
  <si>
    <t xml:space="preserve">  Loans issued for repo's (Repo out)</t>
  </si>
  <si>
    <t xml:space="preserve">  Loans issued for extraordinary purposes</t>
  </si>
  <si>
    <t>Loans issued for financing (gross)</t>
  </si>
  <si>
    <t xml:space="preserve">      Cash value</t>
  </si>
  <si>
    <t xml:space="preserve">      Premium                                                          </t>
  </si>
  <si>
    <t xml:space="preserve">      Revaluation                                                      </t>
  </si>
  <si>
    <t xml:space="preserve">  Retail Bonds</t>
  </si>
  <si>
    <t xml:space="preserve">        Cash value</t>
  </si>
  <si>
    <t xml:space="preserve">  I2025 (2.00%  2025/01/31)                                                                          </t>
  </si>
  <si>
    <t xml:space="preserve">        Discount</t>
  </si>
  <si>
    <t xml:space="preserve">        Premium  </t>
  </si>
  <si>
    <t xml:space="preserve">        Revaluation</t>
  </si>
  <si>
    <t xml:space="preserve">  I2038 (2.25%  2038/01/31)                                                                          </t>
  </si>
  <si>
    <t xml:space="preserve">  I2046 (2.50%  2046/03/31)                                                                           </t>
  </si>
  <si>
    <t xml:space="preserve">  I2033 (1.875%  2033/02/28)                                                                        </t>
  </si>
  <si>
    <t xml:space="preserve">  I2050 (2.50%  2049-50-51/12/31)                                                               </t>
  </si>
  <si>
    <t xml:space="preserve">  R2035 (8.875%  2035/02/28)</t>
  </si>
  <si>
    <t xml:space="preserve">        Premium</t>
  </si>
  <si>
    <t xml:space="preserve">  R186 (10.50%  2025-26-27/12/21)</t>
  </si>
  <si>
    <t xml:space="preserve">  R189  (6.25%  2013/03/31)</t>
  </si>
  <si>
    <t xml:space="preserve">  I2029 (1.875%  2029/03/31)</t>
  </si>
  <si>
    <t xml:space="preserve">  R209  (6.25%  2036/03/31)</t>
  </si>
  <si>
    <t xml:space="preserve">  R197 (5.50%  2023/12/07)</t>
  </si>
  <si>
    <t xml:space="preserve">  R203 (8.25%  2017/09/15)</t>
  </si>
  <si>
    <t xml:space="preserve">  R204 (8.00%  2018/12/21)</t>
  </si>
  <si>
    <t xml:space="preserve">  R205  (6.88%  2012/03/31)</t>
  </si>
  <si>
    <t xml:space="preserve">  R206  (7.50%  2014/01/15)</t>
  </si>
  <si>
    <t xml:space="preserve">  R207 (7.25%  2020/01/15)</t>
  </si>
  <si>
    <t xml:space="preserve">  R208 (6.75%  2021/03/31)</t>
  </si>
  <si>
    <t xml:space="preserve">  R2040 (9.00%  2040/09/11)</t>
  </si>
  <si>
    <t xml:space="preserve">  R210 (2.60%  2028/03/31)                                                                          1)</t>
  </si>
  <si>
    <t xml:space="preserve">  R202 (3.45%  2033/12/07)</t>
  </si>
  <si>
    <t xml:space="preserve">  R212 (2.75%  2022/01/31)</t>
  </si>
  <si>
    <t xml:space="preserve">  R213 (7.00%  2031/02/28)</t>
  </si>
  <si>
    <t xml:space="preserve">  R214 (6.50%  2041/02/28)</t>
  </si>
  <si>
    <t xml:space="preserve">  R2023 (7.75%  2023/02/28)</t>
  </si>
  <si>
    <t xml:space="preserve">  R2030 (7.75%  2030/01/31)</t>
  </si>
  <si>
    <t xml:space="preserve">  R2032 (8.25%  2032/03/31)</t>
  </si>
  <si>
    <t xml:space="preserve">  R2037 (8.50%  2037/01/31)</t>
  </si>
  <si>
    <t xml:space="preserve">  R2044 (8.75%  2043-44-45/01/31)</t>
  </si>
  <si>
    <t xml:space="preserve">  R2048 (8.75%  2047-48-49/02/28)</t>
  </si>
  <si>
    <t>Table 3.1 Issuance of domestic long-term loans (continued)</t>
  </si>
  <si>
    <t xml:space="preserve">  Amortised interest on Zero Coupon Bonds (cash value)</t>
  </si>
  <si>
    <t xml:space="preserve">       Z006 (13.91%  2013/08/31)</t>
  </si>
  <si>
    <t xml:space="preserve">       Z009 (12.15%  2013/11/30)</t>
  </si>
  <si>
    <t xml:space="preserve">       Z014 (12.60%  2015/06/30)</t>
  </si>
  <si>
    <t xml:space="preserve">       Z018 (13.35%  2014/03/31)</t>
  </si>
  <si>
    <t xml:space="preserve">       Z019 (13.30%  2014/06/30)</t>
  </si>
  <si>
    <t xml:space="preserve">       Z020 (13.20%  2015/10/19)</t>
  </si>
  <si>
    <t xml:space="preserve">       Z021  (12.60%  2009/04/30)</t>
  </si>
  <si>
    <t xml:space="preserve">       Z025 (13.00%  2014/11/30)</t>
  </si>
  <si>
    <t xml:space="preserve">       Z071 (15.64%  2015/07/01)</t>
  </si>
  <si>
    <t xml:space="preserve">       Z083 (15.25%  2019/09/30)</t>
  </si>
  <si>
    <t xml:space="preserve">       Z089  (15.25%  2019/09/30)</t>
  </si>
  <si>
    <t xml:space="preserve">       Z109 (15.25%  2016/09/15)</t>
  </si>
  <si>
    <t xml:space="preserve">  Capitalised interest on Retail Bonds (cash value) </t>
  </si>
  <si>
    <t xml:space="preserve">       Corporate Retail Bond</t>
  </si>
  <si>
    <t xml:space="preserve">       RB01</t>
  </si>
  <si>
    <t xml:space="preserve">       RB02</t>
  </si>
  <si>
    <t xml:space="preserve">       RB03</t>
  </si>
  <si>
    <t xml:space="preserve">       RB04</t>
  </si>
  <si>
    <t xml:space="preserve">       RB05</t>
  </si>
  <si>
    <t xml:space="preserve">       RB06</t>
  </si>
  <si>
    <t xml:space="preserve">  R2044 (8.75%  2043-44-45/07/18)</t>
  </si>
  <si>
    <t xml:space="preserve">  R2030 (8.00%  2030/01/31)</t>
  </si>
  <si>
    <t xml:space="preserve">  R2032 (7.00%  2031/02/28)</t>
  </si>
  <si>
    <t xml:space="preserve">  R209 (6.25%  2036/03/31)</t>
  </si>
  <si>
    <t xml:space="preserve">  Margin call payable</t>
  </si>
  <si>
    <t xml:space="preserve">  R2044 (8.75%  2044-45-46/01/31)</t>
  </si>
  <si>
    <t xml:space="preserve">  R210 (2.60%  2028/03/31)</t>
  </si>
  <si>
    <t xml:space="preserve">  R2037  (8.50%  2037/01/31)</t>
  </si>
  <si>
    <t xml:space="preserve">  R2040 (9.00%  2040/01/31)</t>
  </si>
  <si>
    <t xml:space="preserve">  R204  (8.00%  2018/12/21)</t>
  </si>
  <si>
    <t xml:space="preserve">  R2030 (8.00%  2030/01/30)</t>
  </si>
  <si>
    <t xml:space="preserve">Table 3.2  Redemption of domestic long-term loans </t>
  </si>
  <si>
    <t>Redemption of domestic long-term loans</t>
  </si>
  <si>
    <t xml:space="preserve">  Scheduled </t>
  </si>
  <si>
    <t xml:space="preserve">  Due to switches</t>
  </si>
  <si>
    <t xml:space="preserve">  Due to repo's (Repo in)</t>
  </si>
  <si>
    <t xml:space="preserve">  Due to buy-backs</t>
  </si>
  <si>
    <t xml:space="preserve">Scheduled redemptions </t>
  </si>
  <si>
    <t xml:space="preserve">  R208 (6.75% 2021/03/31)</t>
  </si>
  <si>
    <t xml:space="preserve">  R158 (13.50% 2015/09/15)</t>
  </si>
  <si>
    <t xml:space="preserve">  R158P (13.50% 2015/09/15)</t>
  </si>
  <si>
    <t xml:space="preserve">  Z083 (15,25% 2019/09/30)</t>
  </si>
  <si>
    <t xml:space="preserve">  Bonus debenture</t>
  </si>
  <si>
    <t xml:space="preserve">  Former regional authorities' debt</t>
  </si>
  <si>
    <t xml:space="preserve">  Former SARB Namibian loan facility</t>
  </si>
  <si>
    <t>Redemptions due to switches</t>
  </si>
  <si>
    <t xml:space="preserve">        Book profit </t>
  </si>
  <si>
    <t xml:space="preserve">        Book loss </t>
  </si>
  <si>
    <t xml:space="preserve">  R157 (13.50%  2014-15-16/09/15)</t>
  </si>
  <si>
    <t xml:space="preserve">  R201 (8.75%  2014/12/21)</t>
  </si>
  <si>
    <t xml:space="preserve">  R203 (8.25% 2017/09/15)</t>
  </si>
  <si>
    <t>Due to repo's (Repo in)</t>
  </si>
  <si>
    <t xml:space="preserve">   Due to buy-backs</t>
  </si>
  <si>
    <t xml:space="preserve">        Book profit</t>
  </si>
  <si>
    <t xml:space="preserve">        Book loss</t>
  </si>
  <si>
    <t xml:space="preserve">  R001  (4.50%  PERP)</t>
  </si>
  <si>
    <t xml:space="preserve">  R002  (5.00%  PERP)</t>
  </si>
  <si>
    <t xml:space="preserve">  TR31  (9.75%  PERP)</t>
  </si>
  <si>
    <t xml:space="preserve">  TR32  (10.00%  PERP)</t>
  </si>
  <si>
    <t xml:space="preserve">  TR30  (10.00%  PERP)</t>
  </si>
  <si>
    <t xml:space="preserve">  Z071  (0.00%  2015/07/01)</t>
  </si>
  <si>
    <t>Table 3.3  Issuance and redemption of foreign loans</t>
  </si>
  <si>
    <t xml:space="preserve"> Foreign loans issued (gross)</t>
  </si>
  <si>
    <t xml:space="preserve">        Loans issued for financing</t>
  </si>
  <si>
    <t xml:space="preserve">        Loans issued for switches</t>
  </si>
  <si>
    <t xml:space="preserve">        Loans issued for buy-backs</t>
  </si>
  <si>
    <t xml:space="preserve"> Loans issued for financing (gross)</t>
  </si>
  <si>
    <t xml:space="preserve">  TY2/101  4.85% US Dollar Notes due 2029/09/30</t>
  </si>
  <si>
    <t xml:space="preserve">  TY2/102  5.75% US Dollar Notes due 2049/09/30</t>
  </si>
  <si>
    <t xml:space="preserve">  TY2/94  4.875% US Dollar Notes due 2026/04/14</t>
  </si>
  <si>
    <t xml:space="preserve">  TY2/103  LIBOR plus 1.25% US Dollar Notes due 2050/07/20</t>
  </si>
  <si>
    <t xml:space="preserve">  TY2/105 SDR rate plus a % margin US Dollar Promissory Notes due 2025/07/29</t>
  </si>
  <si>
    <t xml:space="preserve">  TY2/97  4.85% US Dollar Notes due 2027/09/27</t>
  </si>
  <si>
    <t xml:space="preserve">  TY2/98  5.65% US Dollar Notes due 2047/09/27</t>
  </si>
  <si>
    <t xml:space="preserve">  TY2/104 3M JIBAR + lending margin + funding cost margin Notes due 2040/06/16</t>
  </si>
  <si>
    <t xml:space="preserve"> Loans issued for switches</t>
  </si>
  <si>
    <t xml:space="preserve">  TY2/95  4.30% US Dollar Notes due 2028/10/12</t>
  </si>
  <si>
    <t xml:space="preserve"> Loans issued for buy-backs</t>
  </si>
  <si>
    <t xml:space="preserve">  TY2-93  3.903% Sukuk note due 2020/09/24</t>
  </si>
  <si>
    <t xml:space="preserve">  TY2/92  3.750% Euro Notes due 2026/07/24</t>
  </si>
  <si>
    <t xml:space="preserve">  TY2/88 6.250% US Dollar Notes due 2041/03/08</t>
  </si>
  <si>
    <t xml:space="preserve">  TY2/89 4.665% US Dollar Notes due 2024/01/17</t>
  </si>
  <si>
    <t>Redemption of foreign long-term loans</t>
  </si>
  <si>
    <t xml:space="preserve">    Scheduled</t>
  </si>
  <si>
    <t xml:space="preserve">    Due to switches</t>
  </si>
  <si>
    <t xml:space="preserve">    Due to buy-backs</t>
  </si>
  <si>
    <t>Scheduled redemptions</t>
  </si>
  <si>
    <t xml:space="preserve">         Rand value at date of issue</t>
  </si>
  <si>
    <t xml:space="preserve">         Revaluation</t>
  </si>
  <si>
    <t xml:space="preserve">  TY2/64 2.50% Kwandebele Water Augmentation Project due 2021/05/20</t>
  </si>
  <si>
    <t xml:space="preserve">  TY2/86 6.875% RSA Notes due 2019/05/27</t>
  </si>
  <si>
    <t xml:space="preserve">  TY2/87 5.50% RSA Notes due 2020/03/09</t>
  </si>
  <si>
    <t xml:space="preserve">  TY2/68 8.50% YANKEE BOND due 2017/06/23</t>
  </si>
  <si>
    <t xml:space="preserve">  TY2/73C Société Générale/Paribas due 2015/05/28</t>
  </si>
  <si>
    <t xml:space="preserve">  TY2/73E 5.50% Barclays Bank PLC due 2020/04/15 </t>
  </si>
  <si>
    <t xml:space="preserve">  TY2/75 Japanese Yen Loan due 2020/06/01</t>
  </si>
  <si>
    <t xml:space="preserve">  TY2/93 3.903% US Dollar Notes due 2020/06/24</t>
  </si>
  <si>
    <t xml:space="preserve">  TY2/64 2.50% Kwandebele Water Augmentation Project due 2020/11/20</t>
  </si>
  <si>
    <t xml:space="preserve">  TY2/78 Japanese Yen Loan due 2007/07/18</t>
  </si>
  <si>
    <t xml:space="preserve">  TY2/82 World Bank: ( Municipal Financial Assistance)  2011/02/15</t>
  </si>
  <si>
    <t xml:space="preserve"> Due to switches</t>
  </si>
  <si>
    <t xml:space="preserve">  TY2/86  6.875% RSA Notes due 2019/05/27</t>
  </si>
  <si>
    <t xml:space="preserve">  TY2/87  5.50% RSA Notes due 2020/09/03</t>
  </si>
  <si>
    <t>Due to buy-backs</t>
  </si>
  <si>
    <t xml:space="preserve">  TY2/73E Barclays Bank PLC due 2020/10/15 </t>
  </si>
  <si>
    <t xml:space="preserve">  TY2/71  9.125% US Dollar Notes due 2009/05/19 </t>
  </si>
  <si>
    <t xml:space="preserve">  TY2/74A  9.125% US Dollar Notes due 2009/05/19 </t>
  </si>
  <si>
    <t xml:space="preserve">  TY2/76  7.00% Euro Notes due 2008/04/10</t>
  </si>
  <si>
    <t>Table 3.4  Change in cash and other balances</t>
  </si>
  <si>
    <t xml:space="preserve">Change in cash balances                                           </t>
  </si>
  <si>
    <t xml:space="preserve">   Opening balance</t>
  </si>
  <si>
    <t xml:space="preserve">       SARB accounts</t>
  </si>
  <si>
    <t xml:space="preserve">       Commercial Banks - Tax and Loan accounts</t>
  </si>
  <si>
    <t xml:space="preserve">   Closing balance</t>
  </si>
  <si>
    <t>Outstanding transfers from the Exchequer to the PMG Accounts</t>
  </si>
  <si>
    <t>Cash-flow adjustment</t>
  </si>
  <si>
    <t xml:space="preserve">Surrenders by National Departments                       </t>
  </si>
  <si>
    <t xml:space="preserve">     2019/20 and prior</t>
  </si>
  <si>
    <t xml:space="preserve">      2012/2013</t>
  </si>
  <si>
    <t xml:space="preserve">Late requests by National Departments                 </t>
  </si>
  <si>
    <t xml:space="preserve">     2019/20 and prior </t>
  </si>
  <si>
    <t>Reconciliation between actual revenue and actual expenditure against NRF flows</t>
  </si>
  <si>
    <t>Total change in cash and other balances</t>
  </si>
  <si>
    <t>1) A negative value indicates an increase in cash and other balances. A positive value indicates that cash is used to finance part of the borrowing requirement.</t>
  </si>
  <si>
    <t>2) Includes R33.9 billion in respect of delayed interest and loan redemption payment scheduled for Sunday, 31 March 2013</t>
  </si>
  <si>
    <t xml:space="preserve">    but paid on 2 April 2013. In the Budget Review 2014 this balance was shown net of delayed payment</t>
  </si>
  <si>
    <t>2) The closing balance for 31 March 2015 excludes an amount of R3.8 billion of tax revenue received</t>
  </si>
  <si>
    <t xml:space="preserve">    in the account of the South African Revenue Services but not yet rolled-up into tax and loan account</t>
  </si>
  <si>
    <t>2) Surrenders by National Departments are unspent funds requested in previous financial years.</t>
  </si>
  <si>
    <t>3) Late requests are requisitions with regard to expenditure committed in previous years.</t>
  </si>
  <si>
    <t>Table 4  Summary of cash flow</t>
  </si>
  <si>
    <t xml:space="preserve">Exchequer revenue                                                                                           </t>
  </si>
  <si>
    <t xml:space="preserve">   1)</t>
  </si>
  <si>
    <t xml:space="preserve">Departmental requisitions                                                                                    </t>
  </si>
  <si>
    <t xml:space="preserve">   2)</t>
  </si>
  <si>
    <t>Voted amounts</t>
  </si>
  <si>
    <t xml:space="preserve">   3)</t>
  </si>
  <si>
    <t xml:space="preserve">Direct charges against the NRF                                     </t>
  </si>
  <si>
    <t>Debt-service costs</t>
  </si>
  <si>
    <t>Provincial equitable share</t>
  </si>
  <si>
    <t>General fuel levy sharing with metropolitan municipalities</t>
  </si>
  <si>
    <t>Skills levy and SETAs</t>
  </si>
  <si>
    <t>Other costs</t>
  </si>
  <si>
    <t>Main budget balance</t>
  </si>
  <si>
    <t>Total financing</t>
  </si>
  <si>
    <t>Loans issued for financing (net)</t>
  </si>
  <si>
    <t>Loans issued (gross)</t>
  </si>
  <si>
    <t>Discount</t>
  </si>
  <si>
    <t>Redemptions</t>
  </si>
  <si>
    <t xml:space="preserve">   Buy-backs (excluding book profit)</t>
  </si>
  <si>
    <t>Loans issued for switches (net)</t>
  </si>
  <si>
    <t>Loans switched (net of book profit)</t>
  </si>
  <si>
    <t>Loans issued for repo's (net)</t>
  </si>
  <si>
    <t>Repo out</t>
  </si>
  <si>
    <t>Repo in</t>
  </si>
  <si>
    <t>Loans issued for extraordinary purposes (net)</t>
  </si>
  <si>
    <t xml:space="preserve">   Rand value at date of issue</t>
  </si>
  <si>
    <t xml:space="preserve">   Revaluation   </t>
  </si>
  <si>
    <t>Loans switched (excluding book profit)</t>
  </si>
  <si>
    <t>Loans issued for buy-backs (net)</t>
  </si>
  <si>
    <t>Buy-backs (excluding book profit)</t>
  </si>
  <si>
    <t>Other movements</t>
  </si>
  <si>
    <t xml:space="preserve">   4)</t>
  </si>
  <si>
    <t>Surrenders/Late requests</t>
  </si>
  <si>
    <t>Outstanding transfers from the Exchequer to PMG Accounts</t>
  </si>
  <si>
    <t>Changes in cash balances</t>
  </si>
  <si>
    <t xml:space="preserve">Change in cash balances                                                                                      </t>
  </si>
  <si>
    <t>Opening balance</t>
  </si>
  <si>
    <t xml:space="preserve">   </t>
  </si>
  <si>
    <t>SARB accounts</t>
  </si>
  <si>
    <t>Commercial Banks - Tax and Loan accounts</t>
  </si>
  <si>
    <t>SARB deposit account</t>
  </si>
  <si>
    <t>Closing balance</t>
  </si>
  <si>
    <t xml:space="preserve">Commercial Banks - Tax and Loan accounts                                                       </t>
  </si>
  <si>
    <t>1) Revenue received into the Exchequer Account.</t>
  </si>
  <si>
    <t>2) Fund requisitions by departments.</t>
  </si>
  <si>
    <t>3) Includes payment in terms of Section 58 of the Finance and Financial Adjustments Acts Consolidation Act no 11 of 1997.</t>
  </si>
  <si>
    <t>4) A negative value indicates an increase in cash and other balances. A positive value indicates that cash is used to finance part of the borrowing requirement.</t>
  </si>
  <si>
    <t>5) Audited outcome except Debt service-costs.</t>
  </si>
  <si>
    <t>Table 5 Additional information on National Revenue Fund receipts and payments1</t>
  </si>
  <si>
    <t>NRF receipts (excludes book profit)</t>
  </si>
  <si>
    <t xml:space="preserve">Agricultural Debt Account surrender                     </t>
  </si>
  <si>
    <t>Double payment of R150 settlement on 21/07/00</t>
  </si>
  <si>
    <t>Excess of roadshow advance iro USD750 million</t>
  </si>
  <si>
    <t xml:space="preserve">Foreign exchange amnesty proceeds                         </t>
  </si>
  <si>
    <t>Incorrect deposit into the Exchequer</t>
  </si>
  <si>
    <t>Incorrect transfer from CPD</t>
  </si>
  <si>
    <t>Profit on buy back</t>
  </si>
  <si>
    <t>Saambou Bank liability</t>
  </si>
  <si>
    <t>Equalisation Fund account transfer</t>
  </si>
  <si>
    <t>Interest earned on Defence Procurement Export Credit Facilities</t>
  </si>
  <si>
    <t xml:space="preserve">Lebowa Minerals Trust abolition              </t>
  </si>
  <si>
    <t xml:space="preserve">Penalties on retail bonds                      </t>
  </si>
  <si>
    <t>Penalties and forfeits from SARB</t>
  </si>
  <si>
    <t xml:space="preserve">Surplus cash from ICASA                      </t>
  </si>
  <si>
    <t xml:space="preserve">Premium on debt portfolio restructuring                              </t>
  </si>
  <si>
    <t xml:space="preserve">Premiums on loan transactions            </t>
  </si>
  <si>
    <t>Refund on Hermes fees</t>
  </si>
  <si>
    <t>Proceeds from the restructuring of Aventura</t>
  </si>
  <si>
    <t>Proceeds from the sale of Telkom 's share in Vodacom</t>
  </si>
  <si>
    <t>Revaluation profits on foreign currency transactions</t>
  </si>
  <si>
    <t>Winding down of Diabo Share Trust</t>
  </si>
  <si>
    <t xml:space="preserve">Profits on GFECRA                     </t>
  </si>
  <si>
    <t>Special  restructuring proceeds from Telkom</t>
  </si>
  <si>
    <t xml:space="preserve">SASSA FNB indemnity </t>
  </si>
  <si>
    <t xml:space="preserve">Special dividends from Eskom                       </t>
  </si>
  <si>
    <t xml:space="preserve">Special dividends from Telkom                       </t>
  </si>
  <si>
    <t>Special restructuring proceeds from Airwing</t>
  </si>
  <si>
    <t>Profit on script lending</t>
  </si>
  <si>
    <t>Special restructuring proceeds from ICASA</t>
  </si>
  <si>
    <t>Liquidation of SASRIA investment</t>
  </si>
  <si>
    <t>IMF revaluation profits</t>
  </si>
  <si>
    <t xml:space="preserve">NRF payments </t>
  </si>
  <si>
    <t>Incorrect transfer from PMG</t>
  </si>
  <si>
    <t>Revaluation losses on foreign currency transactions</t>
  </si>
  <si>
    <t xml:space="preserve">Losses on GFECRA                                                                </t>
  </si>
  <si>
    <t>Revaluation loss on foreign currency transactions</t>
  </si>
  <si>
    <t xml:space="preserve">Premium on debt portfolio restructuring                                </t>
  </si>
  <si>
    <t xml:space="preserve">Premium on foreign portfolio debt portfolio restructuring                                </t>
  </si>
  <si>
    <t>Takeover of former Regional Authorities debt</t>
  </si>
  <si>
    <t>Loss on switches</t>
  </si>
  <si>
    <t>Loss on script lending</t>
  </si>
  <si>
    <t>Book profit</t>
  </si>
  <si>
    <t>1) NRF receipts and payments form part of departmental revenue (Table 1) and direct charges (Table 2) respectively.</t>
  </si>
  <si>
    <t>2) Realised profits/losses on the Gold and Foreign Exchange Contingency Reserve Account.</t>
  </si>
  <si>
    <t xml:space="preserve">1)  Book profits made on debt portfolio restructuring, previously included in Revenue, are now added to extraordinary receipts.  In the 2001/02 fiscal year the following amounts:  </t>
  </si>
  <si>
    <t xml:space="preserve">     June (R498,641 million), July (R405,987 million), August (R22,497 million) and October (R15 thousand).</t>
  </si>
  <si>
    <t xml:space="preserve">     Adjustments were also made to the 2000/01 fiscal year, November (R71,087 million), December (R188,070 million), February (R42,439 million) and March (R166,509 million). </t>
  </si>
  <si>
    <t xml:space="preserve">     Detail on book profits are shown on Schedule 4.2.</t>
  </si>
  <si>
    <t xml:space="preserve">3)  Premiums paid on debt portfolio restructuring, previously included as state debt cost expenditure,  are now added to extraordinary payments.  </t>
  </si>
  <si>
    <t xml:space="preserve">      In the 2001/02 fiscal year the following amounts:  May (R599,981 million), July (R49,630 million), August (R185,755 million),  September (R325,210 million) and</t>
  </si>
  <si>
    <t xml:space="preserve">     October (R753,327 million).  Adjustments were also made to the 2000/01 fiscal year,  February (R12,745 million) and March (R3,438 million).  </t>
  </si>
  <si>
    <t>The statement of actual revenue, expenditure and borrowings with regard to the National Revenue Fund as at the end of January 2020/2021 fiscal year is hereby published in terms of section 32 (1) of the Public Finance Management Act, 1999.</t>
  </si>
  <si>
    <t>Detailed information is available on the website of the National Treasury at www.treasury.gov.za click the Communications &amp; Media link - Press Releases - Monthly Press Releases</t>
  </si>
  <si>
    <t>Summary table of national revenue, expenditure and borrowing for the month ended 31 January 2021</t>
  </si>
  <si>
    <t>Revenue</t>
  </si>
  <si>
    <t xml:space="preserve">Expenditure </t>
  </si>
  <si>
    <t>Appropriation by vote</t>
  </si>
  <si>
    <t>Payments in terms of Section 70 of the PFMA</t>
  </si>
  <si>
    <t xml:space="preserve">Payments in terms of Section 6(1)(b) of the Appropriation act3 </t>
  </si>
  <si>
    <t>Skill Levy and SETAs</t>
  </si>
  <si>
    <t>Financing of the net borrowing requirement</t>
  </si>
  <si>
    <t>Foreign loans (net)</t>
  </si>
  <si>
    <t>Change in cash and other balances1</t>
  </si>
  <si>
    <t>Total financing (net)</t>
  </si>
  <si>
    <t>2) Audited outcome except Debt service-costs.</t>
  </si>
  <si>
    <t>3) Payment has been allocated to Appropriation by vote.</t>
  </si>
  <si>
    <t>COMPILED BY: Phindile Dhlame</t>
  </si>
  <si>
    <t xml:space="preserve">REVIEWED: Suzan Molokwane </t>
  </si>
  <si>
    <t>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</si>
</sst>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7">
    <numFmt numFmtId="41" formatCode="_-* #,##0_-;\-* #,##0_-;_-* &quot;-&quot;_-;_-@_-"/>
    <numFmt numFmtId="44" formatCode="_-&quot;R&quot;* #,##0.00_-;\-&quot;R&quot;* #,##0.00_-;_-&quot;R&quot;* &quot;-&quot;??_-;_-@_-"/>
    <numFmt numFmtId="43" formatCode="_-* #,##0.00_-;\-* #,##0.00_-;_-* &quot;-&quot;??_-;_-@_-"/>
    <numFmt numFmtId="164" formatCode="_(* #,##0_);_(* \(#,##0\);_(* &quot;-&quot;??_);_(@_)"/>
    <numFmt numFmtId="165" formatCode="_(* #,##0.00_);_(* \(#,##0.00\);_(* &quot;-&quot;??_);_(@_)"/>
    <numFmt numFmtId="166" formatCode="&quot;$&quot;#,##0_);\(&quot;$&quot;#,##0\)"/>
    <numFmt numFmtId="167" formatCode="_ * #,##0.00_ ;_ * \-#,##0.00_ ;_ * &quot;-&quot;??_ ;_ @_ "/>
    <numFmt numFmtId="168" formatCode="_-&quot;£&quot;* #,##0_-;\-&quot;£&quot;* #,##0_-;_-&quot;£&quot;* &quot;-&quot;_-;_-@_-"/>
    <numFmt numFmtId="169" formatCode="_-&quot;£&quot;* #,##0.00_-;\-&quot;£&quot;* #,##0.00_-;_-&quot;£&quot;* &quot;-&quot;??_-;_-@_-"/>
    <numFmt numFmtId="170" formatCode="0.0000000"/>
    <numFmt numFmtId="171" formatCode="0.000000"/>
    <numFmt numFmtId="172" formatCode="0.00000"/>
    <numFmt numFmtId="173" formatCode="0.00000000"/>
    <numFmt numFmtId="174" formatCode="#,##0;\-#,##0;&quot;-&quot;"/>
    <numFmt numFmtId="175" formatCode="#,##0.00;\-#,##0.00;&quot;-&quot;"/>
    <numFmt numFmtId="176" formatCode="#,##0%;\-#,##0%;&quot;- &quot;"/>
    <numFmt numFmtId="177" formatCode="#,##0.0%;\-#,##0.0%;&quot;- &quot;"/>
    <numFmt numFmtId="178" formatCode="#,##0.00%;\-#,##0.00%;&quot;- &quot;"/>
    <numFmt numFmtId="179" formatCode="#,##0.0;\-#,##0.0;&quot;-&quot;"/>
    <numFmt numFmtId="180" formatCode="\ \ @"/>
    <numFmt numFmtId="181" formatCode="\ \ \ \ @"/>
    <numFmt numFmtId="182" formatCode="[Red]0%;[Red]\(0%\)"/>
    <numFmt numFmtId="183" formatCode="0%;\(0%\)"/>
    <numFmt numFmtId="184" formatCode="&quot;R&quot;#,##0,;\(&quot;R&quot;#,##0,\)"/>
    <numFmt numFmtId="185" formatCode="\$#,##0\ ;\(\$#,##0\)"/>
    <numFmt numFmtId="186" formatCode="dd\-mmm\-yy_)"/>
    <numFmt numFmtId="187" formatCode="General_)"/>
    <numFmt numFmtId="188" formatCode="0.0%;\(0.0%\)"/>
    <numFmt numFmtId="189" formatCode="&quot;$&quot;#,##0.0"/>
    <numFmt numFmtId="190" formatCode="d/m/yy"/>
    <numFmt numFmtId="191" formatCode="d/m/yy\ h:mm"/>
    <numFmt numFmtId="192" formatCode="_ * #,##0_ ;_ * \-#,##0_ ;_ * &quot;-&quot;??_ ;_ @_ "/>
    <numFmt numFmtId="193" formatCode="_(* #,##0_);_(* \(#,##0\);_(* &quot;-&quot;_);_(@_)"/>
    <numFmt numFmtId="194" formatCode="_(* #,##0.0_);_(* \(#,##0.0\);_(* &quot;-&quot;??_);_(@_)"/>
    <numFmt numFmtId="195" formatCode=";;;"/>
    <numFmt numFmtId="196" formatCode="_(* #,##0.000000000000000000000000000_);_(* \(#,##0.000000000000000000000000000\);_(* &quot;-&quot;??_);_(@_)"/>
    <numFmt numFmtId="197" formatCode="_(* #,##0.000000000000000000_);_(* \(#,##0.000000000000000000\);_(* &quot;-&quot;??_);_(@_)"/>
    <numFmt numFmtId="198" formatCode="_(* #,##0.0000000_);_(* \(#,##0.0000000\);_(* &quot;-&quot;??_);_(@_)"/>
    <numFmt numFmtId="199" formatCode="_(* #,##0.0000_);_(* \(#,##0.0000\);_(* &quot;-&quot;??_);_(@_)"/>
    <numFmt numFmtId="200" formatCode="_(* #,##0.00000_);_(* \(#,##0.00000\);_(* &quot;-&quot;??_);_(@_)"/>
    <numFmt numFmtId="201" formatCode="_(* #,##0.0000000000000000000000000000_);_(* \(#,##0.0000000000000000000000000000\);_(* &quot;-&quot;??_);_(@_)"/>
    <numFmt numFmtId="202" formatCode="_(* #,##0.000000000000000000000000000000000_);_(* \(#,##0.000000000000000000000000000000000\);_(* &quot;-&quot;??_);_(@_)"/>
    <numFmt numFmtId="203" formatCode="_(* #,##0.0000000000000000000000000000000000_);_(* \(#,##0.0000000000000000000000000000000000\);_(* &quot;-&quot;??_);_(@_)"/>
    <numFmt numFmtId="204" formatCode="_-* #,##0_-;\-* #,##0_-;_-* &quot;-&quot;??_-;_-@_-"/>
    <numFmt numFmtId="205" formatCode="_(* #,##0.000_);_(* \(#,##0.000\);_(* &quot;-&quot;??_);_(@_)"/>
    <numFmt numFmtId="206" formatCode="_(* #,##0.000000_);_(* \(#,##0.000000\);_(* &quot;-&quot;??_);_(@_)"/>
    <numFmt numFmtId="207" formatCode="_-* #,##0.0_-;\-* #,##0.0_-;_-* &quot;-&quot;??_-;_-@_-"/>
  </numFmts>
  <fonts count="73"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Narrow"/>
      <family val="2"/>
    </font>
    <font>
      <b/>
      <sz val="10"/>
      <name val="Arial Narrow"/>
      <family val="2"/>
    </font>
    <font>
      <i/>
      <sz val="10"/>
      <name val="Arial Narrow"/>
      <family val="2"/>
    </font>
    <font>
      <sz val="10"/>
      <name val="Arial"/>
      <family val="2"/>
    </font>
    <font>
      <b/>
      <i/>
      <sz val="10"/>
      <name val="Arial Narrow"/>
      <family val="2"/>
    </font>
    <font>
      <sz val="10"/>
      <color indexed="8"/>
      <name val="Arial Narrow"/>
      <family val="2"/>
    </font>
    <font>
      <b/>
      <i/>
      <sz val="10"/>
      <color indexed="8"/>
      <name val="Arial Narrow"/>
      <family val="2"/>
    </font>
    <font>
      <i/>
      <sz val="10"/>
      <color indexed="8"/>
      <name val="Arial Narrow"/>
      <family val="2"/>
    </font>
    <font>
      <b/>
      <sz val="10"/>
      <color indexed="8"/>
      <name val="Arial Narrow"/>
      <family val="2"/>
    </font>
    <font>
      <sz val="10"/>
      <color theme="1"/>
      <name val="Arial Narrow"/>
      <family val="2"/>
    </font>
    <font>
      <i/>
      <sz val="10"/>
      <color theme="1"/>
      <name val="Arial Narrow"/>
      <family val="2"/>
    </font>
    <font>
      <sz val="10"/>
      <name val="Arial"/>
    </font>
    <font>
      <b/>
      <sz val="12"/>
      <name val="Arial Narrow"/>
      <family val="2"/>
    </font>
    <font>
      <u/>
      <sz val="10"/>
      <color indexed="12"/>
      <name val="Arial"/>
      <family val="2"/>
    </font>
    <font>
      <sz val="11"/>
      <color indexed="8"/>
      <name val="Calibri"/>
      <family val="2"/>
    </font>
    <font>
      <sz val="10"/>
      <color indexed="9"/>
      <name val="Arial Narrow"/>
      <family val="2"/>
    </font>
    <font>
      <sz val="10"/>
      <color indexed="20"/>
      <name val="Arial Narrow"/>
      <family val="2"/>
    </font>
    <font>
      <sz val="10"/>
      <color indexed="8"/>
      <name val="Arial"/>
      <family val="2"/>
    </font>
    <font>
      <b/>
      <sz val="10"/>
      <color indexed="52"/>
      <name val="Arial Narrow"/>
      <family val="2"/>
    </font>
    <font>
      <b/>
      <sz val="10"/>
      <color indexed="9"/>
      <name val="Arial Narrow"/>
      <family val="2"/>
    </font>
    <font>
      <sz val="10"/>
      <color indexed="12"/>
      <name val="Arial"/>
      <family val="2"/>
    </font>
    <font>
      <i/>
      <sz val="10"/>
      <color indexed="23"/>
      <name val="Arial Narrow"/>
      <family val="2"/>
    </font>
    <font>
      <sz val="10"/>
      <color indexed="17"/>
      <name val="Arial Narrow"/>
      <family val="2"/>
    </font>
    <font>
      <sz val="8"/>
      <name val="Arial"/>
      <family val="2"/>
    </font>
    <font>
      <b/>
      <sz val="12"/>
      <name val="Arial"/>
      <family val="2"/>
    </font>
    <font>
      <b/>
      <sz val="18"/>
      <name val="Arial"/>
      <family val="2"/>
    </font>
    <font>
      <b/>
      <sz val="11"/>
      <color indexed="62"/>
      <name val="Arial Narrow"/>
      <family val="2"/>
    </font>
    <font>
      <sz val="10"/>
      <color indexed="62"/>
      <name val="Arial Narrow"/>
      <family val="2"/>
    </font>
    <font>
      <sz val="10"/>
      <color indexed="14"/>
      <name val="Arial"/>
      <family val="2"/>
    </font>
    <font>
      <sz val="10"/>
      <color indexed="52"/>
      <name val="Arial Narrow"/>
      <family val="2"/>
    </font>
    <font>
      <sz val="10"/>
      <color indexed="60"/>
      <name val="Arial Narrow"/>
      <family val="2"/>
    </font>
    <font>
      <sz val="8"/>
      <name val="Arial Narrow"/>
      <family val="2"/>
    </font>
    <font>
      <b/>
      <sz val="10"/>
      <color indexed="63"/>
      <name val="Arial Narrow"/>
      <family val="2"/>
    </font>
    <font>
      <sz val="10"/>
      <color indexed="10"/>
      <name val="Arial"/>
      <family val="2"/>
    </font>
    <font>
      <b/>
      <sz val="18"/>
      <color indexed="62"/>
      <name val="Cambria"/>
      <family val="2"/>
    </font>
    <font>
      <sz val="10"/>
      <color indexed="10"/>
      <name val="Arial Narrow"/>
      <family val="2"/>
    </font>
    <font>
      <sz val="18"/>
      <name val="Arial"/>
      <family val="2"/>
    </font>
    <font>
      <i/>
      <sz val="12"/>
      <name val="Arial"/>
      <family val="2"/>
    </font>
    <font>
      <sz val="12"/>
      <name val="Times New Roman"/>
      <family val="1"/>
    </font>
    <font>
      <sz val="18"/>
      <name val="Times New Roman"/>
      <family val="1"/>
    </font>
    <font>
      <sz val="8"/>
      <name val="Times New Roman"/>
      <family val="1"/>
    </font>
    <font>
      <i/>
      <sz val="12"/>
      <name val="Times New Roman"/>
      <family val="1"/>
    </font>
    <font>
      <sz val="12"/>
      <name val="Arial"/>
      <family val="2"/>
    </font>
    <font>
      <b/>
      <sz val="14"/>
      <name val="Arial"/>
      <family val="2"/>
    </font>
    <font>
      <u/>
      <sz val="10"/>
      <color indexed="12"/>
      <name val="MS Sans Serif"/>
      <family val="2"/>
    </font>
    <font>
      <b/>
      <sz val="10"/>
      <name val="Arial"/>
      <family val="2"/>
    </font>
    <font>
      <sz val="11"/>
      <color rgb="FF9C6500"/>
      <name val="Calibri"/>
      <family val="2"/>
      <scheme val="minor"/>
    </font>
    <font>
      <sz val="8"/>
      <color theme="1"/>
      <name val="Arial Narrow"/>
      <family val="2"/>
    </font>
    <font>
      <sz val="10"/>
      <color rgb="FFFF0000"/>
      <name val="Arial Narrow"/>
      <family val="2"/>
    </font>
    <font>
      <sz val="11"/>
      <name val="Arial"/>
      <family val="2"/>
    </font>
    <font>
      <u/>
      <sz val="10"/>
      <color indexed="8"/>
      <name val="Arial Narrow"/>
      <family val="2"/>
    </font>
    <font>
      <b/>
      <u/>
      <sz val="10"/>
      <color indexed="8"/>
      <name val="Arial Narrow"/>
      <family val="2"/>
    </font>
    <font>
      <i/>
      <sz val="9"/>
      <name val="Arial Narrow"/>
      <family val="2"/>
    </font>
    <font>
      <i/>
      <sz val="10"/>
      <name val="Arial"/>
      <family val="2"/>
    </font>
    <font>
      <i/>
      <sz val="8"/>
      <name val="Arial"/>
      <family val="2"/>
    </font>
    <font>
      <b/>
      <sz val="8"/>
      <name val="Arial Narrow"/>
      <family val="2"/>
    </font>
  </fonts>
  <fills count="5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6"/>
      </patternFill>
    </fill>
    <fill>
      <patternFill patternType="solid">
        <fgColor indexed="45"/>
      </patternFill>
    </fill>
    <fill>
      <patternFill patternType="solid">
        <fgColor indexed="47"/>
      </patternFill>
    </fill>
    <fill>
      <patternFill patternType="solid">
        <fgColor indexed="42"/>
      </patternFill>
    </fill>
    <fill>
      <patternFill patternType="solid">
        <fgColor indexed="26"/>
      </patternFill>
    </fill>
    <fill>
      <patternFill patternType="solid">
        <fgColor indexed="29"/>
      </patternFill>
    </fill>
    <fill>
      <patternFill patternType="solid">
        <fgColor indexed="43"/>
      </patternFill>
    </fill>
    <fill>
      <patternFill patternType="solid">
        <fgColor indexed="35"/>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9"/>
      </patternFill>
    </fill>
    <fill>
      <patternFill patternType="solid">
        <fgColor indexed="55"/>
      </patternFill>
    </fill>
    <fill>
      <patternFill patternType="solid">
        <fgColor indexed="9"/>
        <bgColor indexed="8"/>
      </patternFill>
    </fill>
    <fill>
      <patternFill patternType="solid">
        <fgColor indexed="22"/>
        <bgColor indexed="64"/>
      </patternFill>
    </fill>
    <fill>
      <patternFill patternType="solid">
        <fgColor indexed="26"/>
        <bgColor indexed="64"/>
      </patternFill>
    </fill>
    <fill>
      <patternFill patternType="solid">
        <fgColor indexed="58"/>
        <bgColor indexed="64"/>
      </patternFill>
    </fill>
    <fill>
      <patternFill patternType="solid">
        <fgColor theme="0"/>
        <bgColor indexed="64"/>
      </patternFill>
    </fill>
  </fills>
  <borders count="8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hair">
        <color indexed="64"/>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right style="hair">
        <color indexed="64"/>
      </right>
      <top/>
      <bottom/>
      <diagonal/>
    </border>
    <border>
      <left style="hair">
        <color indexed="64"/>
      </left>
      <right style="hair">
        <color indexed="64"/>
      </right>
      <top style="hair">
        <color indexed="64"/>
      </top>
      <bottom/>
      <diagonal/>
    </border>
    <border>
      <left/>
      <right style="hair">
        <color indexed="64"/>
      </right>
      <top style="hair">
        <color indexed="64"/>
      </top>
      <bottom/>
      <diagonal/>
    </border>
    <border>
      <left style="hair">
        <color indexed="64"/>
      </left>
      <right style="thin">
        <color indexed="64"/>
      </right>
      <top style="hair">
        <color indexed="64"/>
      </top>
      <bottom/>
      <diagonal/>
    </border>
    <border>
      <left/>
      <right/>
      <top style="hair">
        <color indexed="64"/>
      </top>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thin">
        <color indexed="64"/>
      </right>
      <top/>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top style="hair">
        <color indexed="64"/>
      </top>
      <bottom/>
      <diagonal/>
    </border>
    <border>
      <left style="hair">
        <color indexed="64"/>
      </left>
      <right/>
      <top style="hair">
        <color indexed="64"/>
      </top>
      <bottom/>
      <diagonal/>
    </border>
    <border>
      <left/>
      <right style="thin">
        <color indexed="64"/>
      </right>
      <top/>
      <bottom/>
      <diagonal/>
    </border>
    <border>
      <left style="hair">
        <color indexed="64"/>
      </left>
      <right style="hair">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top/>
      <bottom style="thin">
        <color indexed="64"/>
      </bottom>
      <diagonal/>
    </border>
    <border>
      <left style="hair">
        <color indexed="64"/>
      </left>
      <right style="thin">
        <color indexed="64"/>
      </right>
      <top style="thin">
        <color indexed="64"/>
      </top>
      <bottom/>
      <diagonal/>
    </border>
    <border>
      <left/>
      <right style="thin">
        <color indexed="64"/>
      </right>
      <top/>
      <bottom style="hair">
        <color indexed="64"/>
      </bottom>
      <diagonal/>
    </border>
    <border>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style="hair">
        <color indexed="64"/>
      </right>
      <top style="thin">
        <color indexed="64"/>
      </top>
      <bottom/>
      <diagonal/>
    </border>
    <border>
      <left/>
      <right style="thin">
        <color indexed="64"/>
      </right>
      <top style="thin">
        <color indexed="64"/>
      </top>
      <bottom/>
      <diagonal/>
    </border>
    <border>
      <left/>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bottom style="medium">
        <color indexed="36"/>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8"/>
      </top>
      <bottom style="double">
        <color indexed="8"/>
      </bottom>
      <diagonal/>
    </border>
    <border>
      <left/>
      <right/>
      <top style="double">
        <color indexed="8"/>
      </top>
      <bottom/>
      <diagonal/>
    </border>
    <border>
      <left/>
      <right/>
      <top style="double">
        <color indexed="0"/>
      </top>
      <bottom/>
      <diagonal/>
    </border>
    <border>
      <left/>
      <right style="hair">
        <color indexed="64"/>
      </right>
      <top style="thin">
        <color indexed="64"/>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style="hair">
        <color indexed="64"/>
      </left>
      <right/>
      <top style="thin">
        <color indexed="64"/>
      </top>
      <bottom/>
      <diagonal/>
    </border>
    <border>
      <left/>
      <right style="hair">
        <color indexed="64"/>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hair">
        <color indexed="64"/>
      </right>
      <top/>
      <bottom style="thin">
        <color indexed="64"/>
      </bottom>
      <diagonal/>
    </border>
  </borders>
  <cellStyleXfs count="469">
    <xf numFmtId="0" fontId="0" fillId="0" borderId="0"/>
    <xf numFmtId="43" fontId="1" fillId="0" borderId="0" applyFon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5" borderId="4" applyNumberFormat="0" applyAlignment="0" applyProtection="0"/>
    <xf numFmtId="0" fontId="9" fillId="6" borderId="5" applyNumberFormat="0" applyAlignment="0" applyProtection="0"/>
    <xf numFmtId="0" fontId="10" fillId="6" borderId="4" applyNumberFormat="0" applyAlignment="0" applyProtection="0"/>
    <xf numFmtId="0" fontId="11" fillId="0" borderId="6" applyNumberFormat="0" applyFill="0" applyAlignment="0" applyProtection="0"/>
    <xf numFmtId="0" fontId="12" fillId="7" borderId="7"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6"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6"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6"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6"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6"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165" fontId="20" fillId="0" borderId="0" applyFont="0" applyFill="0" applyBorder="0" applyAlignment="0" applyProtection="0"/>
    <xf numFmtId="0" fontId="20" fillId="0" borderId="0"/>
    <xf numFmtId="0" fontId="20" fillId="0" borderId="0"/>
    <xf numFmtId="0" fontId="20" fillId="0" borderId="0"/>
    <xf numFmtId="0" fontId="20" fillId="0" borderId="0"/>
    <xf numFmtId="165" fontId="1" fillId="0" borderId="0" applyFont="0" applyFill="0" applyBorder="0" applyAlignment="0" applyProtection="0"/>
    <xf numFmtId="165" fontId="1" fillId="0" borderId="0" applyFont="0" applyFill="0" applyBorder="0" applyAlignment="0" applyProtection="0"/>
    <xf numFmtId="0" fontId="20" fillId="0" borderId="0"/>
    <xf numFmtId="0" fontId="20" fillId="0" borderId="0"/>
    <xf numFmtId="0" fontId="20" fillId="0" borderId="0"/>
    <xf numFmtId="0" fontId="20" fillId="0" borderId="0"/>
    <xf numFmtId="0" fontId="28" fillId="0" borderId="0"/>
    <xf numFmtId="0" fontId="22" fillId="33" borderId="0" applyNumberFormat="0" applyBorder="0" applyAlignment="0" applyProtection="0"/>
    <xf numFmtId="0" fontId="22" fillId="33"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16" fillId="12"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16" fillId="16"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16" fillId="20"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16" fillId="24"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16" fillId="28"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16" fillId="32"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174" fontId="34" fillId="0" borderId="0" applyFill="0" applyBorder="0" applyAlignment="0"/>
    <xf numFmtId="174" fontId="34" fillId="0" borderId="0" applyFill="0" applyBorder="0" applyAlignment="0"/>
    <xf numFmtId="186" fontId="20" fillId="0" borderId="0" applyFill="0" applyBorder="0" applyAlignment="0"/>
    <xf numFmtId="175" fontId="34" fillId="0" borderId="0" applyFill="0" applyBorder="0" applyAlignment="0"/>
    <xf numFmtId="175" fontId="34" fillId="0" borderId="0" applyFill="0" applyBorder="0" applyAlignment="0"/>
    <xf numFmtId="187" fontId="20" fillId="0" borderId="0" applyFill="0" applyBorder="0" applyAlignment="0"/>
    <xf numFmtId="176" fontId="34" fillId="0" borderId="0" applyFill="0" applyBorder="0" applyAlignment="0"/>
    <xf numFmtId="176" fontId="34" fillId="0" borderId="0" applyFill="0" applyBorder="0" applyAlignment="0"/>
    <xf numFmtId="188" fontId="20" fillId="0" borderId="0" applyFill="0" applyBorder="0" applyAlignment="0"/>
    <xf numFmtId="177" fontId="34" fillId="0" borderId="0" applyFill="0" applyBorder="0" applyAlignment="0"/>
    <xf numFmtId="177" fontId="34" fillId="0" borderId="0" applyFill="0" applyBorder="0" applyAlignment="0"/>
    <xf numFmtId="189" fontId="20" fillId="0" borderId="0" applyFill="0" applyBorder="0" applyAlignment="0"/>
    <xf numFmtId="178" fontId="34" fillId="0" borderId="0" applyFill="0" applyBorder="0" applyAlignment="0"/>
    <xf numFmtId="178" fontId="34" fillId="0" borderId="0" applyFill="0" applyBorder="0" applyAlignment="0"/>
    <xf numFmtId="171" fontId="20" fillId="0" borderId="0" applyFill="0" applyBorder="0" applyAlignment="0"/>
    <xf numFmtId="174" fontId="34" fillId="0" borderId="0" applyFill="0" applyBorder="0" applyAlignment="0"/>
    <xf numFmtId="174" fontId="34" fillId="0" borderId="0" applyFill="0" applyBorder="0" applyAlignment="0"/>
    <xf numFmtId="186" fontId="20" fillId="0" borderId="0" applyFill="0" applyBorder="0" applyAlignment="0"/>
    <xf numFmtId="179" fontId="34" fillId="0" borderId="0" applyFill="0" applyBorder="0" applyAlignment="0"/>
    <xf numFmtId="179" fontId="34" fillId="0" borderId="0" applyFill="0" applyBorder="0" applyAlignment="0"/>
    <xf numFmtId="172" fontId="20" fillId="0" borderId="0" applyFill="0" applyBorder="0" applyAlignment="0"/>
    <xf numFmtId="175" fontId="34" fillId="0" borderId="0" applyFill="0" applyBorder="0" applyAlignment="0"/>
    <xf numFmtId="175" fontId="34" fillId="0" borderId="0" applyFill="0" applyBorder="0" applyAlignment="0"/>
    <xf numFmtId="187" fontId="20" fillId="0" borderId="0" applyFill="0" applyBorder="0" applyAlignment="0"/>
    <xf numFmtId="0" fontId="35" fillId="46" borderId="50" applyNumberFormat="0" applyAlignment="0" applyProtection="0"/>
    <xf numFmtId="0" fontId="35" fillId="46" borderId="50" applyNumberFormat="0" applyAlignment="0" applyProtection="0"/>
    <xf numFmtId="0" fontId="36" fillId="47" borderId="51" applyNumberFormat="0" applyAlignment="0" applyProtection="0"/>
    <xf numFmtId="0" fontId="36" fillId="47" borderId="51" applyNumberFormat="0" applyAlignment="0" applyProtection="0"/>
    <xf numFmtId="43" fontId="20" fillId="0" borderId="0" applyFont="0" applyFill="0" applyBorder="0" applyAlignment="0" applyProtection="0"/>
    <xf numFmtId="174" fontId="20" fillId="0" borderId="0" applyFont="0" applyFill="0" applyBorder="0" applyAlignment="0" applyProtection="0"/>
    <xf numFmtId="174" fontId="20" fillId="0" borderId="0" applyFont="0" applyFill="0" applyBorder="0" applyAlignment="0" applyProtection="0"/>
    <xf numFmtId="186" fontId="20"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3" fontId="20" fillId="0" borderId="0" applyFont="0" applyFill="0" applyBorder="0" applyAlignment="0" applyProtection="0"/>
    <xf numFmtId="3" fontId="20" fillId="48" borderId="0" applyFont="0" applyFill="0" applyBorder="0" applyAlignment="0" applyProtection="0"/>
    <xf numFmtId="184" fontId="20" fillId="0" borderId="0" applyFont="0" applyFill="0" applyBorder="0" applyAlignment="0" applyProtection="0"/>
    <xf numFmtId="175" fontId="20" fillId="0" borderId="0" applyFont="0" applyFill="0" applyBorder="0" applyAlignment="0" applyProtection="0"/>
    <xf numFmtId="175" fontId="20" fillId="0" borderId="0" applyFont="0" applyFill="0" applyBorder="0" applyAlignment="0" applyProtection="0"/>
    <xf numFmtId="187" fontId="20" fillId="0" borderId="0" applyFont="0" applyFill="0" applyBorder="0" applyAlignment="0" applyProtection="0"/>
    <xf numFmtId="166" fontId="20" fillId="0" borderId="0" applyFont="0" applyFill="0" applyBorder="0" applyAlignment="0" applyProtection="0"/>
    <xf numFmtId="185" fontId="20" fillId="48" borderId="0" applyFont="0" applyFill="0" applyBorder="0" applyAlignment="0" applyProtection="0"/>
    <xf numFmtId="166" fontId="20" fillId="0" borderId="0" applyFont="0" applyFill="0" applyBorder="0" applyAlignment="0" applyProtection="0"/>
    <xf numFmtId="3" fontId="20" fillId="0" borderId="0" applyFont="0" applyFill="0" applyBorder="0" applyAlignment="0" applyProtection="0"/>
    <xf numFmtId="0" fontId="20" fillId="0" borderId="0" applyFont="0" applyFill="0" applyBorder="0" applyAlignment="0" applyProtection="0"/>
    <xf numFmtId="0" fontId="59" fillId="0" borderId="0" applyFill="0" applyBorder="0" applyAlignment="0" applyProtection="0"/>
    <xf numFmtId="14" fontId="34" fillId="0" borderId="0" applyFill="0" applyBorder="0" applyAlignment="0"/>
    <xf numFmtId="0" fontId="20" fillId="0" borderId="0" applyFont="0" applyFill="0" applyBorder="0" applyAlignment="0" applyProtection="0"/>
    <xf numFmtId="41" fontId="20" fillId="0" borderId="0" applyFont="0" applyFill="0" applyBorder="0" applyAlignment="0" applyProtection="0"/>
    <xf numFmtId="43" fontId="20" fillId="0" borderId="0" applyFont="0" applyFill="0" applyBorder="0" applyAlignment="0" applyProtection="0"/>
    <xf numFmtId="174" fontId="37" fillId="0" borderId="0" applyFill="0" applyBorder="0" applyAlignment="0"/>
    <xf numFmtId="174" fontId="37" fillId="0" borderId="0" applyFill="0" applyBorder="0" applyAlignment="0"/>
    <xf numFmtId="186" fontId="20" fillId="0" borderId="0" applyFill="0" applyBorder="0" applyAlignment="0"/>
    <xf numFmtId="175" fontId="37" fillId="0" borderId="0" applyFill="0" applyBorder="0" applyAlignment="0"/>
    <xf numFmtId="175" fontId="37" fillId="0" borderId="0" applyFill="0" applyBorder="0" applyAlignment="0"/>
    <xf numFmtId="187" fontId="20" fillId="0" borderId="0" applyFill="0" applyBorder="0" applyAlignment="0"/>
    <xf numFmtId="174" fontId="37" fillId="0" borderId="0" applyFill="0" applyBorder="0" applyAlignment="0"/>
    <xf numFmtId="174" fontId="37" fillId="0" borderId="0" applyFill="0" applyBorder="0" applyAlignment="0"/>
    <xf numFmtId="186" fontId="20" fillId="0" borderId="0" applyFill="0" applyBorder="0" applyAlignment="0"/>
    <xf numFmtId="179" fontId="37" fillId="0" borderId="0" applyFill="0" applyBorder="0" applyAlignment="0"/>
    <xf numFmtId="179" fontId="37" fillId="0" borderId="0" applyFill="0" applyBorder="0" applyAlignment="0"/>
    <xf numFmtId="172" fontId="20" fillId="0" borderId="0" applyFill="0" applyBorder="0" applyAlignment="0"/>
    <xf numFmtId="175" fontId="37" fillId="0" borderId="0" applyFill="0" applyBorder="0" applyAlignment="0"/>
    <xf numFmtId="175" fontId="37" fillId="0" borderId="0" applyFill="0" applyBorder="0" applyAlignment="0"/>
    <xf numFmtId="187" fontId="20" fillId="0" borderId="0" applyFill="0" applyBorder="0" applyAlignment="0"/>
    <xf numFmtId="0" fontId="38" fillId="0" borderId="0" applyNumberFormat="0" applyFill="0" applyBorder="0" applyAlignment="0" applyProtection="0"/>
    <xf numFmtId="0" fontId="38" fillId="0" borderId="0" applyNumberFormat="0" applyFill="0" applyBorder="0" applyAlignment="0" applyProtection="0"/>
    <xf numFmtId="0" fontId="53" fillId="0" borderId="0" applyProtection="0"/>
    <xf numFmtId="0" fontId="40" fillId="0" borderId="0" applyProtection="0"/>
    <xf numFmtId="0" fontId="40" fillId="0" borderId="0" applyProtection="0"/>
    <xf numFmtId="0" fontId="54" fillId="0" borderId="0" applyProtection="0"/>
    <xf numFmtId="0" fontId="55" fillId="0" borderId="0" applyProtection="0"/>
    <xf numFmtId="0" fontId="56" fillId="0" borderId="0" applyProtection="0"/>
    <xf numFmtId="0" fontId="57" fillId="0" borderId="0" applyProtection="0"/>
    <xf numFmtId="0" fontId="58" fillId="0" borderId="0" applyProtection="0"/>
    <xf numFmtId="2" fontId="20" fillId="0" borderId="0" applyFont="0" applyFill="0" applyBorder="0" applyAlignment="0" applyProtection="0"/>
    <xf numFmtId="2" fontId="59" fillId="0" borderId="0" applyFill="0" applyBorder="0" applyAlignment="0" applyProtection="0"/>
    <xf numFmtId="0" fontId="39" fillId="36" borderId="0" applyNumberFormat="0" applyBorder="0" applyAlignment="0" applyProtection="0"/>
    <xf numFmtId="0" fontId="39" fillId="36" borderId="0" applyNumberFormat="0" applyBorder="0" applyAlignment="0" applyProtection="0"/>
    <xf numFmtId="38" fontId="40" fillId="49" borderId="0" applyNumberFormat="0" applyBorder="0" applyAlignment="0" applyProtection="0"/>
    <xf numFmtId="38" fontId="40" fillId="49" borderId="0" applyNumberFormat="0" applyBorder="0" applyAlignment="0" applyProtection="0"/>
    <xf numFmtId="38" fontId="40" fillId="49" borderId="0" applyNumberFormat="0" applyBorder="0" applyAlignment="0" applyProtection="0"/>
    <xf numFmtId="0" fontId="41" fillId="0" borderId="52" applyNumberFormat="0" applyAlignment="0" applyProtection="0">
      <alignment horizontal="left" vertical="center"/>
    </xf>
    <xf numFmtId="0" fontId="41" fillId="0" borderId="46">
      <alignment horizontal="left" vertical="center"/>
    </xf>
    <xf numFmtId="0" fontId="42" fillId="0" borderId="0" applyNumberFormat="0" applyFill="0" applyBorder="0" applyAlignment="0" applyProtection="0"/>
    <xf numFmtId="0" fontId="42" fillId="0" borderId="0" applyNumberFormat="0" applyFont="0" applyFill="0" applyAlignment="0" applyProtection="0"/>
    <xf numFmtId="0" fontId="42" fillId="0" borderId="0" applyNumberFormat="0" applyFont="0" applyFill="0" applyAlignment="0" applyProtection="0"/>
    <xf numFmtId="0" fontId="41" fillId="48" borderId="0" applyNumberFormat="0" applyFill="0" applyBorder="0" applyAlignment="0" applyProtection="0"/>
    <xf numFmtId="0" fontId="41" fillId="0" borderId="0" applyNumberFormat="0" applyFill="0" applyBorder="0" applyAlignment="0" applyProtection="0"/>
    <xf numFmtId="0" fontId="41" fillId="0" borderId="0" applyNumberFormat="0" applyFont="0" applyFill="0" applyAlignment="0" applyProtection="0"/>
    <xf numFmtId="0" fontId="41" fillId="0" borderId="0" applyNumberFormat="0" applyFont="0" applyFill="0" applyAlignment="0" applyProtection="0"/>
    <xf numFmtId="0" fontId="43" fillId="0" borderId="53" applyNumberFormat="0" applyFill="0" applyAlignment="0" applyProtection="0"/>
    <xf numFmtId="0" fontId="43" fillId="0" borderId="53" applyNumberFormat="0" applyFill="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2" fillId="48" borderId="0" applyNumberFormat="0" applyFill="0" applyBorder="0" applyAlignment="0" applyProtection="0"/>
    <xf numFmtId="0" fontId="42" fillId="48" borderId="0" applyNumberFormat="0" applyFill="0" applyBorder="0" applyAlignment="0" applyProtection="0"/>
    <xf numFmtId="0" fontId="41" fillId="48" borderId="0" applyNumberFormat="0" applyFill="0" applyBorder="0" applyAlignment="0" applyProtection="0"/>
    <xf numFmtId="0" fontId="41" fillId="0" borderId="0" applyNumberFormat="0" applyFill="0" applyBorder="0" applyAlignment="0" applyProtection="0"/>
    <xf numFmtId="0" fontId="41" fillId="48" borderId="0" applyNumberFormat="0" applyFill="0" applyBorder="0" applyAlignment="0" applyProtection="0"/>
    <xf numFmtId="0" fontId="41" fillId="48" borderId="0" applyNumberFormat="0" applyFill="0" applyBorder="0" applyAlignment="0" applyProtection="0"/>
    <xf numFmtId="0" fontId="41" fillId="48" borderId="0" applyNumberFormat="0" applyFill="0" applyBorder="0" applyAlignment="0" applyProtection="0"/>
    <xf numFmtId="0" fontId="30" fillId="0" borderId="0" applyNumberFormat="0" applyFill="0" applyBorder="0" applyAlignment="0" applyProtection="0">
      <alignment vertical="top"/>
      <protection locked="0"/>
    </xf>
    <xf numFmtId="0" fontId="61" fillId="0" borderId="0" applyNumberFormat="0" applyFill="0" applyBorder="0" applyAlignment="0" applyProtection="0"/>
    <xf numFmtId="10" fontId="40" fillId="50" borderId="54" applyNumberFormat="0" applyBorder="0" applyAlignment="0" applyProtection="0"/>
    <xf numFmtId="10" fontId="40" fillId="50" borderId="54" applyNumberFormat="0" applyBorder="0" applyAlignment="0" applyProtection="0"/>
    <xf numFmtId="10" fontId="40" fillId="50" borderId="54" applyNumberFormat="0" applyBorder="0" applyAlignment="0" applyProtection="0"/>
    <xf numFmtId="0" fontId="44" fillId="35" borderId="50" applyNumberFormat="0" applyAlignment="0" applyProtection="0"/>
    <xf numFmtId="0" fontId="44" fillId="35" borderId="50" applyNumberFormat="0" applyAlignment="0" applyProtection="0"/>
    <xf numFmtId="0" fontId="44" fillId="35" borderId="50" applyNumberFormat="0" applyAlignment="0" applyProtection="0"/>
    <xf numFmtId="0" fontId="44" fillId="35" borderId="50" applyNumberFormat="0" applyAlignment="0" applyProtection="0"/>
    <xf numFmtId="174" fontId="45" fillId="0" borderId="0" applyFill="0" applyBorder="0" applyAlignment="0"/>
    <xf numFmtId="174" fontId="45" fillId="0" borderId="0" applyFill="0" applyBorder="0" applyAlignment="0"/>
    <xf numFmtId="186" fontId="20" fillId="0" borderId="0" applyFill="0" applyBorder="0" applyAlignment="0"/>
    <xf numFmtId="175" fontId="45" fillId="0" borderId="0" applyFill="0" applyBorder="0" applyAlignment="0"/>
    <xf numFmtId="175" fontId="45" fillId="0" borderId="0" applyFill="0" applyBorder="0" applyAlignment="0"/>
    <xf numFmtId="187" fontId="20" fillId="0" borderId="0" applyFill="0" applyBorder="0" applyAlignment="0"/>
    <xf numFmtId="174" fontId="45" fillId="0" borderId="0" applyFill="0" applyBorder="0" applyAlignment="0"/>
    <xf numFmtId="174" fontId="45" fillId="0" borderId="0" applyFill="0" applyBorder="0" applyAlignment="0"/>
    <xf numFmtId="186" fontId="20" fillId="0" borderId="0" applyFill="0" applyBorder="0" applyAlignment="0"/>
    <xf numFmtId="179" fontId="45" fillId="0" borderId="0" applyFill="0" applyBorder="0" applyAlignment="0"/>
    <xf numFmtId="179" fontId="45" fillId="0" borderId="0" applyFill="0" applyBorder="0" applyAlignment="0"/>
    <xf numFmtId="172" fontId="20" fillId="0" borderId="0" applyFill="0" applyBorder="0" applyAlignment="0"/>
    <xf numFmtId="175" fontId="45" fillId="0" borderId="0" applyFill="0" applyBorder="0" applyAlignment="0"/>
    <xf numFmtId="175" fontId="45" fillId="0" borderId="0" applyFill="0" applyBorder="0" applyAlignment="0"/>
    <xf numFmtId="187" fontId="20" fillId="0" borderId="0" applyFill="0" applyBorder="0" applyAlignment="0"/>
    <xf numFmtId="0" fontId="46" fillId="0" borderId="55" applyNumberFormat="0" applyFill="0" applyAlignment="0" applyProtection="0"/>
    <xf numFmtId="0" fontId="46" fillId="0" borderId="55" applyNumberFormat="0" applyFill="0" applyAlignment="0" applyProtection="0"/>
    <xf numFmtId="0" fontId="20" fillId="0" borderId="0" applyFont="0" applyFill="0" applyBorder="0" applyAlignment="0" applyProtection="0"/>
    <xf numFmtId="44" fontId="20" fillId="0" borderId="0" applyFont="0" applyFill="0" applyBorder="0" applyAlignment="0" applyProtection="0"/>
    <xf numFmtId="0" fontId="63" fillId="4"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182" fontId="48" fillId="0" borderId="0"/>
    <xf numFmtId="182" fontId="48" fillId="0" borderId="0"/>
    <xf numFmtId="190" fontId="20"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7" fillId="0" borderId="0"/>
    <xf numFmtId="0" fontId="60" fillId="0" borderId="0">
      <alignment vertical="top"/>
    </xf>
    <xf numFmtId="0" fontId="17" fillId="0" borderId="0"/>
    <xf numFmtId="0" fontId="20" fillId="0" borderId="0"/>
    <xf numFmtId="0" fontId="17" fillId="0" borderId="0"/>
    <xf numFmtId="0" fontId="20" fillId="0" borderId="0"/>
    <xf numFmtId="0" fontId="17" fillId="0" borderId="0"/>
    <xf numFmtId="0" fontId="20" fillId="0" borderId="0"/>
    <xf numFmtId="0" fontId="17" fillId="0" borderId="0"/>
    <xf numFmtId="0" fontId="20" fillId="0" borderId="0"/>
    <xf numFmtId="0" fontId="17" fillId="0" borderId="0"/>
    <xf numFmtId="0" fontId="17" fillId="0" borderId="0"/>
    <xf numFmtId="0" fontId="17" fillId="0" borderId="0"/>
    <xf numFmtId="0" fontId="17"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20" fillId="0" borderId="0"/>
    <xf numFmtId="0" fontId="20" fillId="0" borderId="0"/>
    <xf numFmtId="0" fontId="17"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1" fillId="0" borderId="0"/>
    <xf numFmtId="0" fontId="1"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37" borderId="56" applyNumberFormat="0" applyFont="0" applyAlignment="0" applyProtection="0"/>
    <xf numFmtId="0" fontId="20" fillId="37" borderId="56" applyNumberFormat="0" applyFont="0" applyAlignment="0" applyProtection="0"/>
    <xf numFmtId="0" fontId="1" fillId="8" borderId="8" applyNumberFormat="0" applyFont="0" applyAlignment="0" applyProtection="0"/>
    <xf numFmtId="0" fontId="49" fillId="46" borderId="57" applyNumberFormat="0" applyAlignment="0" applyProtection="0"/>
    <xf numFmtId="0" fontId="49" fillId="46" borderId="57" applyNumberFormat="0" applyAlignment="0" applyProtection="0"/>
    <xf numFmtId="178" fontId="20" fillId="0" borderId="0" applyFont="0" applyFill="0" applyBorder="0" applyAlignment="0" applyProtection="0"/>
    <xf numFmtId="178" fontId="20" fillId="0" borderId="0" applyFont="0" applyFill="0" applyBorder="0" applyAlignment="0" applyProtection="0"/>
    <xf numFmtId="171" fontId="20" fillId="0" borderId="0" applyFont="0" applyFill="0" applyBorder="0" applyAlignment="0" applyProtection="0"/>
    <xf numFmtId="183" fontId="20" fillId="0" borderId="0" applyFont="0" applyFill="0" applyBorder="0" applyAlignment="0" applyProtection="0"/>
    <xf numFmtId="183" fontId="20" fillId="0" borderId="0" applyFont="0" applyFill="0" applyBorder="0" applyAlignment="0" applyProtection="0"/>
    <xf numFmtId="191" fontId="20" fillId="0" borderId="0" applyFont="0" applyFill="0" applyBorder="0" applyAlignment="0" applyProtection="0"/>
    <xf numFmtId="10" fontId="20" fillId="0" borderId="0" applyFont="0" applyFill="0" applyBorder="0" applyAlignment="0" applyProtection="0"/>
    <xf numFmtId="10" fontId="20"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20"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20"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174" fontId="50" fillId="0" borderId="0" applyFill="0" applyBorder="0" applyAlignment="0"/>
    <xf numFmtId="174" fontId="50" fillId="0" borderId="0" applyFill="0" applyBorder="0" applyAlignment="0"/>
    <xf numFmtId="186" fontId="20" fillId="0" borderId="0" applyFill="0" applyBorder="0" applyAlignment="0"/>
    <xf numFmtId="175" fontId="50" fillId="0" borderId="0" applyFill="0" applyBorder="0" applyAlignment="0"/>
    <xf numFmtId="175" fontId="50" fillId="0" borderId="0" applyFill="0" applyBorder="0" applyAlignment="0"/>
    <xf numFmtId="187" fontId="20" fillId="0" borderId="0" applyFill="0" applyBorder="0" applyAlignment="0"/>
    <xf numFmtId="174" fontId="50" fillId="0" borderId="0" applyFill="0" applyBorder="0" applyAlignment="0"/>
    <xf numFmtId="174" fontId="50" fillId="0" borderId="0" applyFill="0" applyBorder="0" applyAlignment="0"/>
    <xf numFmtId="186" fontId="20" fillId="0" borderId="0" applyFill="0" applyBorder="0" applyAlignment="0"/>
    <xf numFmtId="179" fontId="50" fillId="0" borderId="0" applyFill="0" applyBorder="0" applyAlignment="0"/>
    <xf numFmtId="179" fontId="50" fillId="0" borderId="0" applyFill="0" applyBorder="0" applyAlignment="0"/>
    <xf numFmtId="172" fontId="20" fillId="0" borderId="0" applyFill="0" applyBorder="0" applyAlignment="0"/>
    <xf numFmtId="175" fontId="50" fillId="0" borderId="0" applyFill="0" applyBorder="0" applyAlignment="0"/>
    <xf numFmtId="175" fontId="50" fillId="0" borderId="0" applyFill="0" applyBorder="0" applyAlignment="0"/>
    <xf numFmtId="187" fontId="20" fillId="0" borderId="0" applyFill="0" applyBorder="0" applyAlignment="0"/>
    <xf numFmtId="0" fontId="20" fillId="51" borderId="0"/>
    <xf numFmtId="0" fontId="40" fillId="0" borderId="0" applyNumberFormat="0" applyFont="0" applyAlignment="0"/>
    <xf numFmtId="0" fontId="40" fillId="0" borderId="0" applyNumberFormat="0" applyFont="0" applyAlignment="0"/>
    <xf numFmtId="49" fontId="34" fillId="0" borderId="0" applyFill="0" applyBorder="0" applyAlignment="0"/>
    <xf numFmtId="180" fontId="34" fillId="0" borderId="0" applyFill="0" applyBorder="0" applyAlignment="0"/>
    <xf numFmtId="180" fontId="34" fillId="0" borderId="0" applyFill="0" applyBorder="0" applyAlignment="0"/>
    <xf numFmtId="170" fontId="20" fillId="0" borderId="0" applyFill="0" applyBorder="0" applyAlignment="0"/>
    <xf numFmtId="181" fontId="34" fillId="0" borderId="0" applyFill="0" applyBorder="0" applyAlignment="0"/>
    <xf numFmtId="181" fontId="34" fillId="0" borderId="0" applyFill="0" applyBorder="0" applyAlignment="0"/>
    <xf numFmtId="173" fontId="20" fillId="0" borderId="0" applyFill="0" applyBorder="0" applyAlignment="0"/>
    <xf numFmtId="0" fontId="51" fillId="0" borderId="0" applyNumberFormat="0" applyFill="0" applyBorder="0" applyAlignment="0" applyProtection="0"/>
    <xf numFmtId="0" fontId="51" fillId="0" borderId="0" applyNumberFormat="0" applyFill="0" applyBorder="0" applyAlignment="0" applyProtection="0"/>
    <xf numFmtId="0" fontId="2" fillId="0" borderId="0" applyNumberFormat="0" applyFill="0" applyBorder="0" applyAlignment="0" applyProtection="0"/>
    <xf numFmtId="0" fontId="59" fillId="0" borderId="58" applyNumberFormat="0" applyFill="0" applyAlignment="0" applyProtection="0"/>
    <xf numFmtId="0" fontId="20" fillId="0" borderId="59" applyNumberFormat="0" applyFont="0" applyFill="0" applyAlignment="0" applyProtection="0"/>
    <xf numFmtId="0" fontId="20" fillId="0" borderId="60" applyNumberFormat="0" applyFont="0" applyBorder="0" applyAlignment="0" applyProtection="0"/>
    <xf numFmtId="0" fontId="20" fillId="0" borderId="60" applyNumberFormat="0" applyFont="0" applyBorder="0" applyAlignment="0" applyProtection="0"/>
    <xf numFmtId="168" fontId="20" fillId="0" borderId="0" applyFont="0" applyFill="0" applyBorder="0" applyAlignment="0" applyProtection="0"/>
    <xf numFmtId="169" fontId="20" fillId="0" borderId="0" applyFon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60" fillId="0" borderId="0">
      <alignment vertical="top"/>
    </xf>
    <xf numFmtId="0" fontId="60" fillId="0" borderId="0">
      <alignment vertical="top"/>
    </xf>
  </cellStyleXfs>
  <cellXfs count="638">
    <xf numFmtId="0" fontId="0" fillId="0" borderId="0" xfId="0"/>
    <xf numFmtId="164" fontId="17" fillId="0" borderId="0" xfId="0" applyNumberFormat="1" applyFont="1"/>
    <xf numFmtId="164" fontId="18" fillId="0" borderId="10" xfId="0" applyNumberFormat="1" applyFont="1" applyBorder="1"/>
    <xf numFmtId="164" fontId="17" fillId="0" borderId="10" xfId="0" applyNumberFormat="1" applyFont="1" applyBorder="1"/>
    <xf numFmtId="164" fontId="17" fillId="0" borderId="11" xfId="0" applyNumberFormat="1" applyFont="1" applyBorder="1"/>
    <xf numFmtId="164" fontId="17" fillId="0" borderId="12" xfId="0" applyNumberFormat="1" applyFont="1" applyBorder="1"/>
    <xf numFmtId="164" fontId="17" fillId="0" borderId="13" xfId="0" applyNumberFormat="1" applyFont="1" applyBorder="1" applyAlignment="1">
      <alignment horizontal="right"/>
    </xf>
    <xf numFmtId="164" fontId="18" fillId="0" borderId="17" xfId="0" quotePrefix="1" applyNumberFormat="1" applyFont="1" applyBorder="1" applyAlignment="1">
      <alignment horizontal="center"/>
    </xf>
    <xf numFmtId="164" fontId="18" fillId="0" borderId="0" xfId="0" quotePrefix="1" applyNumberFormat="1" applyFont="1" applyAlignment="1">
      <alignment horizontal="center"/>
    </xf>
    <xf numFmtId="164" fontId="17" fillId="0" borderId="17" xfId="0" applyNumberFormat="1" applyFont="1" applyBorder="1"/>
    <xf numFmtId="164" fontId="18" fillId="0" borderId="0" xfId="0" applyNumberFormat="1" applyFont="1"/>
    <xf numFmtId="164" fontId="19" fillId="0" borderId="18" xfId="0" applyNumberFormat="1" applyFont="1" applyBorder="1" applyAlignment="1">
      <alignment horizontal="right"/>
    </xf>
    <xf numFmtId="164" fontId="18" fillId="0" borderId="19" xfId="34" applyNumberFormat="1" applyFont="1" applyFill="1" applyBorder="1" applyAlignment="1">
      <alignment horizontal="right"/>
    </xf>
    <xf numFmtId="164" fontId="18" fillId="0" borderId="20" xfId="0" applyNumberFormat="1" applyFont="1" applyBorder="1" applyAlignment="1">
      <alignment horizontal="right"/>
    </xf>
    <xf numFmtId="164" fontId="18" fillId="0" borderId="21" xfId="0" applyNumberFormat="1" applyFont="1" applyBorder="1" applyAlignment="1">
      <alignment horizontal="right"/>
    </xf>
    <xf numFmtId="164" fontId="18" fillId="0" borderId="20" xfId="34" applyNumberFormat="1" applyFont="1" applyFill="1" applyBorder="1" applyAlignment="1">
      <alignment horizontal="right"/>
    </xf>
    <xf numFmtId="164" fontId="18" fillId="0" borderId="22" xfId="34" applyNumberFormat="1" applyFont="1" applyFill="1" applyBorder="1" applyAlignment="1">
      <alignment horizontal="right"/>
    </xf>
    <xf numFmtId="164" fontId="18" fillId="0" borderId="19" xfId="0" applyNumberFormat="1" applyFont="1" applyBorder="1" applyAlignment="1">
      <alignment horizontal="right"/>
    </xf>
    <xf numFmtId="164" fontId="18" fillId="0" borderId="17" xfId="0" applyNumberFormat="1" applyFont="1" applyBorder="1" applyAlignment="1">
      <alignment horizontal="right"/>
    </xf>
    <xf numFmtId="164" fontId="18" fillId="0" borderId="0" xfId="0" applyNumberFormat="1" applyFont="1" applyAlignment="1">
      <alignment horizontal="right"/>
    </xf>
    <xf numFmtId="164" fontId="18" fillId="0" borderId="23" xfId="0" applyNumberFormat="1" applyFont="1" applyBorder="1"/>
    <xf numFmtId="164" fontId="18" fillId="0" borderId="24" xfId="0" applyNumberFormat="1" applyFont="1" applyBorder="1"/>
    <xf numFmtId="164" fontId="18" fillId="0" borderId="25" xfId="0" applyNumberFormat="1" applyFont="1" applyBorder="1" applyAlignment="1">
      <alignment horizontal="right"/>
    </xf>
    <xf numFmtId="164" fontId="18" fillId="0" borderId="26" xfId="34" applyNumberFormat="1" applyFont="1" applyFill="1" applyBorder="1" applyAlignment="1">
      <alignment horizontal="right"/>
    </xf>
    <xf numFmtId="164" fontId="18" fillId="0" borderId="18" xfId="34" applyNumberFormat="1" applyFont="1" applyFill="1" applyBorder="1" applyAlignment="1">
      <alignment horizontal="right"/>
    </xf>
    <xf numFmtId="164" fontId="18" fillId="0" borderId="0" xfId="34" applyNumberFormat="1" applyFont="1" applyFill="1" applyBorder="1" applyAlignment="1">
      <alignment horizontal="right"/>
    </xf>
    <xf numFmtId="164" fontId="18" fillId="0" borderId="27" xfId="34" applyNumberFormat="1" applyFont="1" applyFill="1" applyBorder="1" applyAlignment="1">
      <alignment horizontal="right"/>
    </xf>
    <xf numFmtId="164" fontId="18" fillId="0" borderId="28" xfId="34" applyNumberFormat="1" applyFont="1" applyFill="1" applyBorder="1" applyAlignment="1">
      <alignment horizontal="right"/>
    </xf>
    <xf numFmtId="164" fontId="18" fillId="0" borderId="25" xfId="34" applyNumberFormat="1" applyFont="1" applyFill="1" applyBorder="1" applyAlignment="1">
      <alignment horizontal="right"/>
    </xf>
    <xf numFmtId="164" fontId="18" fillId="0" borderId="30" xfId="0" applyNumberFormat="1" applyFont="1" applyBorder="1" applyAlignment="1">
      <alignment horizontal="right"/>
    </xf>
    <xf numFmtId="164" fontId="19" fillId="0" borderId="31" xfId="0" applyNumberFormat="1" applyFont="1" applyBorder="1"/>
    <xf numFmtId="164" fontId="21" fillId="0" borderId="0" xfId="0" applyNumberFormat="1" applyFont="1"/>
    <xf numFmtId="164" fontId="19" fillId="0" borderId="0" xfId="0" applyNumberFormat="1" applyFont="1"/>
    <xf numFmtId="164" fontId="21" fillId="0" borderId="22" xfId="0" applyNumberFormat="1" applyFont="1" applyBorder="1"/>
    <xf numFmtId="164" fontId="19" fillId="0" borderId="20" xfId="0" applyNumberFormat="1" applyFont="1" applyBorder="1" applyAlignment="1">
      <alignment horizontal="right"/>
    </xf>
    <xf numFmtId="164" fontId="18" fillId="0" borderId="22" xfId="0" applyNumberFormat="1" applyFont="1" applyBorder="1" applyAlignment="1">
      <alignment horizontal="right"/>
    </xf>
    <xf numFmtId="164" fontId="18" fillId="0" borderId="32" xfId="0" applyNumberFormat="1" applyFont="1" applyBorder="1" applyAlignment="1">
      <alignment horizontal="right"/>
    </xf>
    <xf numFmtId="164" fontId="21" fillId="0" borderId="17" xfId="0" applyNumberFormat="1" applyFont="1" applyBorder="1"/>
    <xf numFmtId="164" fontId="17" fillId="0" borderId="18" xfId="0" applyNumberFormat="1" applyFont="1" applyBorder="1" applyAlignment="1">
      <alignment horizontal="right"/>
    </xf>
    <xf numFmtId="164" fontId="17" fillId="0" borderId="26" xfId="0" applyNumberFormat="1" applyFont="1" applyBorder="1" applyAlignment="1">
      <alignment horizontal="right"/>
    </xf>
    <xf numFmtId="164" fontId="17" fillId="0" borderId="28" xfId="0" applyNumberFormat="1" applyFont="1" applyBorder="1" applyAlignment="1">
      <alignment horizontal="right"/>
    </xf>
    <xf numFmtId="164" fontId="17" fillId="0" borderId="27" xfId="0" applyNumberFormat="1" applyFont="1" applyBorder="1" applyAlignment="1">
      <alignment horizontal="right"/>
    </xf>
    <xf numFmtId="164" fontId="17" fillId="0" borderId="17" xfId="0" applyNumberFormat="1" applyFont="1" applyBorder="1" applyAlignment="1">
      <alignment horizontal="right"/>
    </xf>
    <xf numFmtId="164" fontId="17" fillId="0" borderId="0" xfId="0" applyNumberFormat="1" applyFont="1" applyAlignment="1">
      <alignment horizontal="right"/>
    </xf>
    <xf numFmtId="164" fontId="19" fillId="0" borderId="17" xfId="0" applyNumberFormat="1" applyFont="1" applyBorder="1"/>
    <xf numFmtId="164" fontId="23" fillId="0" borderId="0" xfId="0" applyNumberFormat="1" applyFont="1"/>
    <xf numFmtId="164" fontId="24" fillId="0" borderId="18" xfId="0" applyNumberFormat="1" applyFont="1" applyBorder="1" applyAlignment="1">
      <alignment horizontal="right"/>
    </xf>
    <xf numFmtId="164" fontId="18" fillId="0" borderId="18" xfId="34" applyNumberFormat="1" applyFont="1" applyFill="1" applyBorder="1" applyAlignment="1">
      <alignment horizontal="center"/>
    </xf>
    <xf numFmtId="164" fontId="18" fillId="0" borderId="0" xfId="34" applyNumberFormat="1" applyFont="1" applyFill="1" applyBorder="1" applyAlignment="1">
      <alignment horizontal="center"/>
    </xf>
    <xf numFmtId="164" fontId="18" fillId="0" borderId="27" xfId="34" applyNumberFormat="1" applyFont="1" applyFill="1" applyBorder="1" applyAlignment="1">
      <alignment horizontal="center"/>
    </xf>
    <xf numFmtId="164" fontId="18" fillId="0" borderId="28" xfId="34" applyNumberFormat="1" applyFont="1" applyFill="1" applyBorder="1" applyAlignment="1">
      <alignment horizontal="center"/>
    </xf>
    <xf numFmtId="164" fontId="18" fillId="0" borderId="18" xfId="0" applyNumberFormat="1" applyFont="1" applyBorder="1" applyAlignment="1">
      <alignment horizontal="right"/>
    </xf>
    <xf numFmtId="164" fontId="18" fillId="0" borderId="27" xfId="0" applyNumberFormat="1" applyFont="1" applyBorder="1" applyAlignment="1">
      <alignment horizontal="right"/>
    </xf>
    <xf numFmtId="164" fontId="18" fillId="0" borderId="26" xfId="0" applyNumberFormat="1" applyFont="1" applyBorder="1" applyAlignment="1">
      <alignment horizontal="right"/>
    </xf>
    <xf numFmtId="164" fontId="18" fillId="0" borderId="17" xfId="34" applyNumberFormat="1" applyFont="1" applyFill="1" applyBorder="1" applyAlignment="1">
      <alignment horizontal="center"/>
    </xf>
    <xf numFmtId="164" fontId="22" fillId="0" borderId="0" xfId="0" applyNumberFormat="1" applyFont="1"/>
    <xf numFmtId="164" fontId="22" fillId="0" borderId="0" xfId="0" applyNumberFormat="1" applyFont="1" applyAlignment="1">
      <alignment horizontal="right"/>
    </xf>
    <xf numFmtId="164" fontId="18" fillId="0" borderId="26" xfId="34" applyNumberFormat="1" applyFont="1" applyFill="1" applyBorder="1" applyAlignment="1">
      <alignment horizontal="center"/>
    </xf>
    <xf numFmtId="164" fontId="18" fillId="0" borderId="33" xfId="34" applyNumberFormat="1" applyFont="1" applyFill="1" applyBorder="1" applyAlignment="1">
      <alignment horizontal="center"/>
    </xf>
    <xf numFmtId="164" fontId="25" fillId="0" borderId="0" xfId="0" applyNumberFormat="1" applyFont="1"/>
    <xf numFmtId="164" fontId="22" fillId="0" borderId="18" xfId="0" applyNumberFormat="1" applyFont="1" applyBorder="1" applyAlignment="1">
      <alignment horizontal="right"/>
    </xf>
    <xf numFmtId="164" fontId="24" fillId="0" borderId="0" xfId="0" applyNumberFormat="1" applyFont="1"/>
    <xf numFmtId="164" fontId="26" fillId="0" borderId="0" xfId="0" applyNumberFormat="1" applyFont="1" applyAlignment="1">
      <alignment horizontal="left"/>
    </xf>
    <xf numFmtId="164" fontId="17" fillId="0" borderId="26" xfId="34" applyNumberFormat="1" applyFont="1" applyFill="1" applyBorder="1" applyAlignment="1">
      <alignment horizontal="center"/>
    </xf>
    <xf numFmtId="164" fontId="17" fillId="0" borderId="18" xfId="34" applyNumberFormat="1" applyFont="1" applyFill="1" applyBorder="1" applyAlignment="1">
      <alignment horizontal="center"/>
    </xf>
    <xf numFmtId="164" fontId="17" fillId="0" borderId="0" xfId="34" applyNumberFormat="1" applyFont="1" applyFill="1" applyBorder="1" applyAlignment="1">
      <alignment horizontal="center"/>
    </xf>
    <xf numFmtId="164" fontId="17" fillId="0" borderId="27" xfId="34" applyNumberFormat="1" applyFont="1" applyFill="1" applyBorder="1" applyAlignment="1">
      <alignment horizontal="center"/>
    </xf>
    <xf numFmtId="164" fontId="17" fillId="0" borderId="28" xfId="34" applyNumberFormat="1" applyFont="1" applyFill="1" applyBorder="1" applyAlignment="1">
      <alignment horizontal="center"/>
    </xf>
    <xf numFmtId="164" fontId="24" fillId="0" borderId="0" xfId="0" applyNumberFormat="1" applyFont="1" applyAlignment="1">
      <alignment horizontal="left"/>
    </xf>
    <xf numFmtId="164" fontId="19" fillId="0" borderId="26" xfId="0" applyNumberFormat="1" applyFont="1" applyBorder="1" applyAlignment="1">
      <alignment horizontal="right"/>
    </xf>
    <xf numFmtId="164" fontId="19" fillId="0" borderId="27" xfId="0" applyNumberFormat="1" applyFont="1" applyBorder="1" applyAlignment="1">
      <alignment horizontal="right"/>
    </xf>
    <xf numFmtId="164" fontId="19" fillId="0" borderId="28" xfId="0" applyNumberFormat="1" applyFont="1" applyBorder="1" applyAlignment="1">
      <alignment horizontal="right"/>
    </xf>
    <xf numFmtId="164" fontId="19" fillId="0" borderId="0" xfId="0" applyNumberFormat="1" applyFont="1" applyAlignment="1">
      <alignment horizontal="right"/>
    </xf>
    <xf numFmtId="164" fontId="19" fillId="0" borderId="17" xfId="0" applyNumberFormat="1" applyFont="1" applyBorder="1" applyAlignment="1">
      <alignment horizontal="right"/>
    </xf>
    <xf numFmtId="164" fontId="27" fillId="0" borderId="0" xfId="0" applyNumberFormat="1" applyFont="1" applyAlignment="1">
      <alignment horizontal="left"/>
    </xf>
    <xf numFmtId="164" fontId="19" fillId="0" borderId="26" xfId="34" applyNumberFormat="1" applyFont="1" applyFill="1" applyBorder="1" applyAlignment="1">
      <alignment horizontal="center"/>
    </xf>
    <xf numFmtId="164" fontId="19" fillId="0" borderId="18" xfId="34" applyNumberFormat="1" applyFont="1" applyFill="1" applyBorder="1" applyAlignment="1">
      <alignment horizontal="center"/>
    </xf>
    <xf numFmtId="164" fontId="19" fillId="0" borderId="28" xfId="34" applyNumberFormat="1" applyFont="1" applyFill="1" applyBorder="1" applyAlignment="1">
      <alignment horizontal="center"/>
    </xf>
    <xf numFmtId="165" fontId="17" fillId="0" borderId="17" xfId="34" applyFont="1" applyFill="1" applyBorder="1" applyAlignment="1">
      <alignment horizontal="right"/>
    </xf>
    <xf numFmtId="164" fontId="18" fillId="0" borderId="17" xfId="0" applyNumberFormat="1" applyFont="1" applyBorder="1"/>
    <xf numFmtId="164" fontId="18" fillId="0" borderId="34" xfId="34" applyNumberFormat="1" applyFont="1" applyFill="1" applyBorder="1" applyAlignment="1">
      <alignment horizontal="center"/>
    </xf>
    <xf numFmtId="164" fontId="18" fillId="0" borderId="25" xfId="34" applyNumberFormat="1" applyFont="1" applyFill="1" applyBorder="1" applyAlignment="1">
      <alignment horizontal="center"/>
    </xf>
    <xf numFmtId="164" fontId="18" fillId="0" borderId="30" xfId="34" applyNumberFormat="1" applyFont="1" applyFill="1" applyBorder="1" applyAlignment="1">
      <alignment horizontal="center"/>
    </xf>
    <xf numFmtId="165" fontId="18" fillId="0" borderId="17" xfId="34" applyFont="1" applyFill="1" applyBorder="1" applyAlignment="1">
      <alignment horizontal="center"/>
    </xf>
    <xf numFmtId="164" fontId="17" fillId="0" borderId="31" xfId="0" applyNumberFormat="1" applyFont="1" applyBorder="1"/>
    <xf numFmtId="164" fontId="18" fillId="0" borderId="22" xfId="0" applyNumberFormat="1" applyFont="1" applyBorder="1"/>
    <xf numFmtId="164" fontId="17" fillId="0" borderId="22" xfId="0" applyNumberFormat="1" applyFont="1" applyBorder="1"/>
    <xf numFmtId="164" fontId="24" fillId="0" borderId="20" xfId="0" applyNumberFormat="1" applyFont="1" applyBorder="1" applyAlignment="1">
      <alignment horizontal="right"/>
    </xf>
    <xf numFmtId="164" fontId="18" fillId="0" borderId="34" xfId="0" applyNumberFormat="1" applyFont="1" applyBorder="1" applyAlignment="1">
      <alignment horizontal="right"/>
    </xf>
    <xf numFmtId="164" fontId="18" fillId="0" borderId="24" xfId="0" applyNumberFormat="1" applyFont="1" applyBorder="1" applyAlignment="1">
      <alignment horizontal="right"/>
    </xf>
    <xf numFmtId="164" fontId="17" fillId="0" borderId="35" xfId="0" applyNumberFormat="1" applyFont="1" applyBorder="1"/>
    <xf numFmtId="164" fontId="18" fillId="0" borderId="36" xfId="0" applyNumberFormat="1" applyFont="1" applyBorder="1"/>
    <xf numFmtId="164" fontId="17" fillId="0" borderId="36" xfId="0" applyNumberFormat="1" applyFont="1" applyBorder="1"/>
    <xf numFmtId="164" fontId="22" fillId="0" borderId="36" xfId="0" applyNumberFormat="1" applyFont="1" applyBorder="1"/>
    <xf numFmtId="164" fontId="24" fillId="0" borderId="37" xfId="0" applyNumberFormat="1" applyFont="1" applyBorder="1" applyAlignment="1">
      <alignment horizontal="right"/>
    </xf>
    <xf numFmtId="164" fontId="18" fillId="0" borderId="38" xfId="34" applyNumberFormat="1" applyFont="1" applyFill="1" applyBorder="1" applyAlignment="1">
      <alignment horizontal="center"/>
    </xf>
    <xf numFmtId="164" fontId="18" fillId="0" borderId="37" xfId="34" applyNumberFormat="1" applyFont="1" applyFill="1" applyBorder="1" applyAlignment="1">
      <alignment horizontal="center"/>
    </xf>
    <xf numFmtId="164" fontId="18" fillId="0" borderId="39" xfId="34" applyNumberFormat="1" applyFont="1" applyFill="1" applyBorder="1" applyAlignment="1">
      <alignment horizontal="center"/>
    </xf>
    <xf numFmtId="164" fontId="17" fillId="0" borderId="41" xfId="0" applyNumberFormat="1" applyFont="1" applyBorder="1"/>
    <xf numFmtId="164" fontId="24" fillId="0" borderId="10" xfId="0" applyNumberFormat="1" applyFont="1" applyBorder="1" applyAlignment="1">
      <alignment horizontal="right"/>
    </xf>
    <xf numFmtId="164" fontId="17" fillId="0" borderId="33" xfId="34" applyNumberFormat="1" applyFont="1" applyFill="1" applyBorder="1" applyAlignment="1">
      <alignment horizontal="center"/>
    </xf>
    <xf numFmtId="164" fontId="17" fillId="0" borderId="17" xfId="34" applyNumberFormat="1" applyFont="1" applyFill="1" applyBorder="1" applyAlignment="1">
      <alignment horizontal="center"/>
    </xf>
    <xf numFmtId="164" fontId="17" fillId="0" borderId="26" xfId="0" applyNumberFormat="1" applyFont="1" applyBorder="1"/>
    <xf numFmtId="164" fontId="17" fillId="0" borderId="18" xfId="36" applyNumberFormat="1" applyFont="1" applyBorder="1" applyAlignment="1">
      <alignment horizontal="right"/>
    </xf>
    <xf numFmtId="164" fontId="17" fillId="0" borderId="33" xfId="0" applyNumberFormat="1" applyFont="1" applyBorder="1" applyAlignment="1">
      <alignment horizontal="right"/>
    </xf>
    <xf numFmtId="164" fontId="17" fillId="0" borderId="0" xfId="0" applyNumberFormat="1" applyFont="1" applyAlignment="1">
      <alignment horizontal="left"/>
    </xf>
    <xf numFmtId="164" fontId="17" fillId="0" borderId="26" xfId="36" applyNumberFormat="1" applyFont="1" applyBorder="1" applyAlignment="1">
      <alignment horizontal="right"/>
    </xf>
    <xf numFmtId="164" fontId="23" fillId="0" borderId="18" xfId="0" applyNumberFormat="1" applyFont="1" applyBorder="1" applyAlignment="1">
      <alignment horizontal="right"/>
    </xf>
    <xf numFmtId="164" fontId="25" fillId="0" borderId="18" xfId="0" applyNumberFormat="1" applyFont="1" applyBorder="1" applyAlignment="1">
      <alignment horizontal="right"/>
    </xf>
    <xf numFmtId="164" fontId="25" fillId="0" borderId="18" xfId="36" applyNumberFormat="1" applyFont="1" applyBorder="1" applyAlignment="1">
      <alignment horizontal="right"/>
    </xf>
    <xf numFmtId="164" fontId="18" fillId="0" borderId="28" xfId="0" applyNumberFormat="1" applyFont="1" applyBorder="1" applyAlignment="1">
      <alignment horizontal="right"/>
    </xf>
    <xf numFmtId="164" fontId="21" fillId="0" borderId="18" xfId="0" applyNumberFormat="1" applyFont="1" applyBorder="1" applyAlignment="1">
      <alignment horizontal="right"/>
    </xf>
    <xf numFmtId="164" fontId="18" fillId="0" borderId="18" xfId="36" applyNumberFormat="1" applyFont="1" applyBorder="1" applyAlignment="1">
      <alignment horizontal="right"/>
    </xf>
    <xf numFmtId="164" fontId="22" fillId="0" borderId="18" xfId="36" applyNumberFormat="1" applyFont="1" applyBorder="1" applyAlignment="1">
      <alignment horizontal="right"/>
    </xf>
    <xf numFmtId="164" fontId="19" fillId="0" borderId="33" xfId="0" applyNumberFormat="1" applyFont="1" applyBorder="1" applyAlignment="1">
      <alignment horizontal="right"/>
    </xf>
    <xf numFmtId="164" fontId="21" fillId="0" borderId="0" xfId="0" applyNumberFormat="1" applyFont="1" applyAlignment="1">
      <alignment horizontal="right"/>
    </xf>
    <xf numFmtId="164" fontId="24" fillId="0" borderId="0" xfId="0" applyNumberFormat="1" applyFont="1" applyAlignment="1">
      <alignment horizontal="left" indent="1"/>
    </xf>
    <xf numFmtId="164" fontId="24" fillId="0" borderId="18" xfId="36" applyNumberFormat="1" applyFont="1" applyBorder="1" applyAlignment="1">
      <alignment horizontal="right"/>
    </xf>
    <xf numFmtId="164" fontId="18" fillId="0" borderId="33" xfId="0" applyNumberFormat="1" applyFont="1" applyBorder="1" applyAlignment="1">
      <alignment horizontal="right"/>
    </xf>
    <xf numFmtId="164" fontId="18" fillId="0" borderId="26" xfId="36" applyNumberFormat="1" applyFont="1" applyBorder="1" applyAlignment="1">
      <alignment horizontal="right"/>
    </xf>
    <xf numFmtId="164" fontId="24" fillId="0" borderId="0" xfId="0" applyNumberFormat="1" applyFont="1" applyAlignment="1">
      <alignment horizontal="right"/>
    </xf>
    <xf numFmtId="164" fontId="22" fillId="0" borderId="0" xfId="0" applyNumberFormat="1" applyFont="1" applyAlignment="1">
      <alignment horizontal="left"/>
    </xf>
    <xf numFmtId="164" fontId="22" fillId="0" borderId="0" xfId="0" applyNumberFormat="1" applyFont="1" applyAlignment="1">
      <alignment horizontal="left" indent="1"/>
    </xf>
    <xf numFmtId="164" fontId="17" fillId="0" borderId="26" xfId="40" applyNumberFormat="1" applyFont="1" applyFill="1" applyBorder="1" applyProtection="1"/>
    <xf numFmtId="164" fontId="19" fillId="0" borderId="26" xfId="40" applyNumberFormat="1" applyFont="1" applyFill="1" applyBorder="1" applyProtection="1"/>
    <xf numFmtId="164" fontId="17" fillId="0" borderId="26" xfId="34" applyNumberFormat="1" applyFont="1" applyFill="1" applyBorder="1" applyAlignment="1">
      <alignment horizontal="right"/>
    </xf>
    <xf numFmtId="164" fontId="24" fillId="0" borderId="0" xfId="0" applyNumberFormat="1" applyFont="1" applyAlignment="1">
      <alignment horizontal="left" indent="2"/>
    </xf>
    <xf numFmtId="164" fontId="19" fillId="0" borderId="34" xfId="0" applyNumberFormat="1" applyFont="1" applyBorder="1" applyAlignment="1">
      <alignment horizontal="right"/>
    </xf>
    <xf numFmtId="164" fontId="19" fillId="0" borderId="25" xfId="0" applyNumberFormat="1" applyFont="1" applyBorder="1" applyAlignment="1">
      <alignment horizontal="right"/>
    </xf>
    <xf numFmtId="164" fontId="19" fillId="0" borderId="43" xfId="0" applyNumberFormat="1" applyFont="1" applyBorder="1" applyAlignment="1">
      <alignment horizontal="right"/>
    </xf>
    <xf numFmtId="164" fontId="18" fillId="0" borderId="35" xfId="0" applyNumberFormat="1" applyFont="1" applyBorder="1"/>
    <xf numFmtId="164" fontId="18" fillId="0" borderId="37" xfId="0" applyNumberFormat="1" applyFont="1" applyBorder="1"/>
    <xf numFmtId="164" fontId="18" fillId="0" borderId="44" xfId="0" applyNumberFormat="1" applyFont="1" applyBorder="1"/>
    <xf numFmtId="164" fontId="18" fillId="0" borderId="11" xfId="0" applyNumberFormat="1" applyFont="1" applyBorder="1"/>
    <xf numFmtId="164" fontId="18" fillId="0" borderId="12" xfId="0" applyNumberFormat="1" applyFont="1" applyBorder="1"/>
    <xf numFmtId="164" fontId="17" fillId="0" borderId="12" xfId="0" applyNumberFormat="1" applyFont="1" applyBorder="1" applyAlignment="1">
      <alignment horizontal="left"/>
    </xf>
    <xf numFmtId="164" fontId="18" fillId="0" borderId="47" xfId="0" applyNumberFormat="1" applyFont="1" applyBorder="1"/>
    <xf numFmtId="164" fontId="18" fillId="0" borderId="13" xfId="0" applyNumberFormat="1" applyFont="1" applyBorder="1"/>
    <xf numFmtId="164" fontId="18" fillId="0" borderId="48" xfId="0" applyNumberFormat="1" applyFont="1" applyBorder="1"/>
    <xf numFmtId="164" fontId="17" fillId="0" borderId="47" xfId="0" applyNumberFormat="1" applyFont="1" applyBorder="1" applyAlignment="1">
      <alignment horizontal="right"/>
    </xf>
    <xf numFmtId="164" fontId="18" fillId="0" borderId="17" xfId="34" applyNumberFormat="1" applyFont="1" applyFill="1" applyBorder="1" applyAlignment="1"/>
    <xf numFmtId="164" fontId="18" fillId="0" borderId="0" xfId="34" applyNumberFormat="1" applyFont="1" applyFill="1" applyBorder="1" applyAlignment="1"/>
    <xf numFmtId="164" fontId="18" fillId="0" borderId="17" xfId="0" applyNumberFormat="1" applyFont="1" applyBorder="1" applyAlignment="1">
      <alignment horizontal="left"/>
    </xf>
    <xf numFmtId="164" fontId="18" fillId="0" borderId="0" xfId="0" applyNumberFormat="1" applyFont="1" applyAlignment="1">
      <alignment horizontal="left"/>
    </xf>
    <xf numFmtId="164" fontId="18" fillId="0" borderId="18" xfId="0" applyNumberFormat="1" applyFont="1" applyBorder="1" applyAlignment="1">
      <alignment horizontal="left"/>
    </xf>
    <xf numFmtId="164" fontId="18" fillId="0" borderId="27" xfId="0" applyNumberFormat="1" applyFont="1" applyBorder="1"/>
    <xf numFmtId="164" fontId="18" fillId="0" borderId="28" xfId="0" applyNumberFormat="1" applyFont="1" applyBorder="1"/>
    <xf numFmtId="164" fontId="18" fillId="0" borderId="26" xfId="0" applyNumberFormat="1" applyFont="1" applyBorder="1"/>
    <xf numFmtId="164" fontId="17" fillId="0" borderId="17" xfId="0" applyNumberFormat="1" applyFont="1" applyBorder="1" applyAlignment="1">
      <alignment horizontal="left" indent="1"/>
    </xf>
    <xf numFmtId="164" fontId="17" fillId="0" borderId="0" xfId="0" applyNumberFormat="1" applyFont="1" applyAlignment="1">
      <alignment horizontal="left" indent="1"/>
    </xf>
    <xf numFmtId="164" fontId="17" fillId="0" borderId="18" xfId="0" applyNumberFormat="1" applyFont="1" applyBorder="1"/>
    <xf numFmtId="164" fontId="17" fillId="0" borderId="33" xfId="0" applyNumberFormat="1" applyFont="1" applyBorder="1"/>
    <xf numFmtId="164" fontId="21" fillId="0" borderId="26" xfId="0" applyNumberFormat="1" applyFont="1" applyBorder="1" applyAlignment="1">
      <alignment horizontal="right"/>
    </xf>
    <xf numFmtId="164" fontId="18" fillId="0" borderId="18" xfId="0" applyNumberFormat="1" applyFont="1" applyBorder="1"/>
    <xf numFmtId="164" fontId="18" fillId="0" borderId="33" xfId="0" applyNumberFormat="1" applyFont="1" applyBorder="1"/>
    <xf numFmtId="164" fontId="18" fillId="0" borderId="49" xfId="0" applyNumberFormat="1" applyFont="1" applyBorder="1"/>
    <xf numFmtId="164" fontId="17" fillId="0" borderId="27" xfId="0" applyNumberFormat="1" applyFont="1" applyBorder="1"/>
    <xf numFmtId="164" fontId="17" fillId="0" borderId="23" xfId="0" applyNumberFormat="1" applyFont="1" applyBorder="1"/>
    <xf numFmtId="164" fontId="17" fillId="0" borderId="24" xfId="0" applyNumberFormat="1" applyFont="1" applyBorder="1"/>
    <xf numFmtId="164" fontId="17" fillId="0" borderId="34" xfId="0" applyNumberFormat="1" applyFont="1" applyBorder="1" applyAlignment="1">
      <alignment horizontal="right"/>
    </xf>
    <xf numFmtId="164" fontId="17" fillId="0" borderId="25" xfId="0" applyNumberFormat="1" applyFont="1" applyBorder="1" applyAlignment="1">
      <alignment horizontal="right"/>
    </xf>
    <xf numFmtId="164" fontId="17" fillId="0" borderId="30" xfId="0" applyNumberFormat="1" applyFont="1" applyBorder="1" applyAlignment="1">
      <alignment horizontal="right"/>
    </xf>
    <xf numFmtId="164" fontId="17" fillId="0" borderId="25" xfId="0" applyNumberFormat="1" applyFont="1" applyBorder="1"/>
    <xf numFmtId="164" fontId="17" fillId="0" borderId="34" xfId="0" applyNumberFormat="1" applyFont="1" applyBorder="1"/>
    <xf numFmtId="164" fontId="18" fillId="0" borderId="40" xfId="0" applyNumberFormat="1" applyFont="1" applyBorder="1"/>
    <xf numFmtId="164" fontId="19" fillId="0" borderId="0" xfId="0" applyNumberFormat="1" applyFont="1" applyAlignment="1">
      <alignment horizontal="left"/>
    </xf>
    <xf numFmtId="164" fontId="19" fillId="0" borderId="0" xfId="0" applyNumberFormat="1" applyFont="1" applyAlignment="1">
      <alignment horizontal="left" vertical="center"/>
    </xf>
    <xf numFmtId="164" fontId="19" fillId="0" borderId="0" xfId="0" applyNumberFormat="1" applyFont="1" applyBorder="1"/>
    <xf numFmtId="164" fontId="17" fillId="0" borderId="0" xfId="0" applyNumberFormat="1" applyFont="1" applyBorder="1"/>
    <xf numFmtId="164" fontId="19" fillId="0" borderId="0" xfId="0" applyNumberFormat="1" applyFont="1" applyBorder="1" applyAlignment="1">
      <alignment horizontal="left"/>
    </xf>
    <xf numFmtId="164" fontId="18" fillId="0" borderId="0" xfId="0" applyNumberFormat="1" applyFont="1" applyBorder="1"/>
    <xf numFmtId="0" fontId="17" fillId="0" borderId="17" xfId="0" applyFont="1" applyBorder="1"/>
    <xf numFmtId="0" fontId="18" fillId="0" borderId="18" xfId="0" applyFont="1" applyBorder="1" applyAlignment="1">
      <alignment horizontal="right"/>
    </xf>
    <xf numFmtId="0" fontId="18" fillId="0" borderId="17" xfId="0" applyFont="1" applyBorder="1"/>
    <xf numFmtId="165" fontId="17" fillId="0" borderId="0" xfId="34" applyFont="1" applyFill="1" applyBorder="1" applyAlignment="1"/>
    <xf numFmtId="0" fontId="18" fillId="0" borderId="17" xfId="0" applyFont="1" applyBorder="1" applyAlignment="1">
      <alignment horizontal="center"/>
    </xf>
    <xf numFmtId="0" fontId="18" fillId="0" borderId="13" xfId="0" applyFont="1" applyBorder="1" applyAlignment="1">
      <alignment horizontal="right"/>
    </xf>
    <xf numFmtId="0" fontId="18" fillId="0" borderId="11" xfId="0" applyFont="1" applyBorder="1"/>
    <xf numFmtId="165" fontId="17" fillId="0" borderId="0" xfId="34" applyFont="1" applyFill="1" applyAlignment="1"/>
    <xf numFmtId="164" fontId="17" fillId="0" borderId="0" xfId="34" applyNumberFormat="1" applyFont="1" applyFill="1" applyAlignment="1"/>
    <xf numFmtId="0" fontId="17" fillId="0" borderId="0" xfId="0" applyFont="1"/>
    <xf numFmtId="3" fontId="17" fillId="0" borderId="10" xfId="0" applyNumberFormat="1" applyFont="1" applyBorder="1"/>
    <xf numFmtId="0" fontId="18" fillId="0" borderId="0" xfId="0" applyFont="1"/>
    <xf numFmtId="0" fontId="17" fillId="0" borderId="10" xfId="0" applyFont="1" applyBorder="1"/>
    <xf numFmtId="0" fontId="18" fillId="0" borderId="10" xfId="0" applyFont="1" applyBorder="1"/>
    <xf numFmtId="0" fontId="29" fillId="0" borderId="0" xfId="0" applyFont="1"/>
    <xf numFmtId="164" fontId="19" fillId="0" borderId="0" xfId="137" applyNumberFormat="1" applyFont="1" applyFill="1" applyBorder="1" applyAlignment="1">
      <alignment horizontal="center"/>
    </xf>
    <xf numFmtId="0" fontId="18" fillId="0" borderId="27" xfId="0" applyFont="1" applyBorder="1" applyAlignment="1">
      <alignment horizontal="right"/>
    </xf>
    <xf numFmtId="0" fontId="18" fillId="0" borderId="0" xfId="0" applyFont="1" applyAlignment="1">
      <alignment horizontal="right"/>
    </xf>
    <xf numFmtId="0" fontId="18" fillId="0" borderId="19" xfId="0" applyFont="1" applyBorder="1" applyAlignment="1">
      <alignment horizontal="right"/>
    </xf>
    <xf numFmtId="3" fontId="18" fillId="0" borderId="19" xfId="0" applyNumberFormat="1" applyFont="1" applyBorder="1" applyAlignment="1">
      <alignment horizontal="right"/>
    </xf>
    <xf numFmtId="3" fontId="18" fillId="0" borderId="32" xfId="0" applyNumberFormat="1" applyFont="1" applyBorder="1" applyAlignment="1">
      <alignment horizontal="right"/>
    </xf>
    <xf numFmtId="0" fontId="25" fillId="0" borderId="23" xfId="0" applyFont="1" applyBorder="1"/>
    <xf numFmtId="0" fontId="18" fillId="0" borderId="24" xfId="0" applyFont="1" applyBorder="1"/>
    <xf numFmtId="0" fontId="18" fillId="0" borderId="25" xfId="0" applyFont="1" applyBorder="1" applyAlignment="1">
      <alignment horizontal="right"/>
    </xf>
    <xf numFmtId="0" fontId="18" fillId="0" borderId="29" xfId="0" applyFont="1" applyBorder="1" applyAlignment="1">
      <alignment horizontal="right"/>
    </xf>
    <xf numFmtId="0" fontId="18" fillId="0" borderId="24" xfId="0" applyFont="1" applyBorder="1" applyAlignment="1">
      <alignment horizontal="right"/>
    </xf>
    <xf numFmtId="0" fontId="18" fillId="0" borderId="34" xfId="0" applyFont="1" applyBorder="1" applyAlignment="1">
      <alignment horizontal="right"/>
    </xf>
    <xf numFmtId="2" fontId="17" fillId="0" borderId="17" xfId="0" applyNumberFormat="1" applyFont="1" applyBorder="1"/>
    <xf numFmtId="0" fontId="25" fillId="0" borderId="17" xfId="0" applyFont="1" applyBorder="1"/>
    <xf numFmtId="0" fontId="18" fillId="0" borderId="32" xfId="0" applyFont="1" applyBorder="1" applyAlignment="1">
      <alignment horizontal="right"/>
    </xf>
    <xf numFmtId="0" fontId="18" fillId="0" borderId="26" xfId="0" applyFont="1" applyBorder="1" applyAlignment="1">
      <alignment horizontal="right"/>
    </xf>
    <xf numFmtId="0" fontId="22" fillId="0" borderId="17" xfId="0" applyFont="1" applyBorder="1" applyAlignment="1">
      <alignment horizontal="left"/>
    </xf>
    <xf numFmtId="37" fontId="22" fillId="0" borderId="0" xfId="0" applyNumberFormat="1" applyFont="1"/>
    <xf numFmtId="37" fontId="22" fillId="0" borderId="0" xfId="0" applyNumberFormat="1" applyFont="1" applyAlignment="1">
      <alignment horizontal="right"/>
    </xf>
    <xf numFmtId="164" fontId="17" fillId="0" borderId="17" xfId="34" applyNumberFormat="1" applyFont="1" applyFill="1" applyBorder="1" applyAlignment="1"/>
    <xf numFmtId="167" fontId="65" fillId="0" borderId="17" xfId="0" applyNumberFormat="1" applyFont="1" applyBorder="1"/>
    <xf numFmtId="37" fontId="24" fillId="0" borderId="0" xfId="0" quotePrefix="1" applyNumberFormat="1" applyFont="1" applyAlignment="1">
      <alignment horizontal="right"/>
    </xf>
    <xf numFmtId="167" fontId="17" fillId="0" borderId="17" xfId="0" applyNumberFormat="1" applyFont="1" applyBorder="1"/>
    <xf numFmtId="0" fontId="19" fillId="0" borderId="0" xfId="0" quotePrefix="1" applyFont="1" applyAlignment="1">
      <alignment horizontal="right"/>
    </xf>
    <xf numFmtId="0" fontId="22" fillId="0" borderId="0" xfId="0" applyFont="1"/>
    <xf numFmtId="0" fontId="17" fillId="0" borderId="17" xfId="0" applyFont="1" applyBorder="1" applyAlignment="1">
      <alignment horizontal="left"/>
    </xf>
    <xf numFmtId="37" fontId="17" fillId="0" borderId="0" xfId="0" applyNumberFormat="1" applyFont="1"/>
    <xf numFmtId="37" fontId="17" fillId="0" borderId="0" xfId="0" applyNumberFormat="1" applyFont="1" applyAlignment="1">
      <alignment horizontal="left"/>
    </xf>
    <xf numFmtId="37" fontId="19" fillId="0" borderId="0" xfId="0" applyNumberFormat="1" applyFont="1" applyAlignment="1">
      <alignment horizontal="right"/>
    </xf>
    <xf numFmtId="0" fontId="22" fillId="0" borderId="0" xfId="0" applyFont="1" applyAlignment="1">
      <alignment horizontal="right"/>
    </xf>
    <xf numFmtId="37" fontId="19" fillId="0" borderId="0" xfId="0" quotePrefix="1" applyNumberFormat="1" applyFont="1" applyAlignment="1">
      <alignment horizontal="right"/>
    </xf>
    <xf numFmtId="0" fontId="22" fillId="0" borderId="23" xfId="0" applyFont="1" applyBorder="1" applyAlignment="1">
      <alignment horizontal="left"/>
    </xf>
    <xf numFmtId="37" fontId="22" fillId="0" borderId="24" xfId="0" applyNumberFormat="1" applyFont="1" applyBorder="1"/>
    <xf numFmtId="0" fontId="17" fillId="0" borderId="24" xfId="0" applyFont="1" applyBorder="1"/>
    <xf numFmtId="37" fontId="22" fillId="0" borderId="25" xfId="0" applyNumberFormat="1" applyFont="1" applyBorder="1" applyAlignment="1">
      <alignment horizontal="right"/>
    </xf>
    <xf numFmtId="37" fontId="24" fillId="0" borderId="18" xfId="0" quotePrefix="1" applyNumberFormat="1" applyFont="1" applyBorder="1" applyAlignment="1">
      <alignment horizontal="right"/>
    </xf>
    <xf numFmtId="165" fontId="17" fillId="0" borderId="0" xfId="34" applyFont="1" applyFill="1" applyBorder="1" applyAlignment="1">
      <alignment horizontal="right"/>
    </xf>
    <xf numFmtId="0" fontId="22" fillId="0" borderId="17" xfId="0" applyFont="1" applyBorder="1"/>
    <xf numFmtId="164" fontId="17" fillId="0" borderId="0" xfId="34" applyNumberFormat="1" applyFont="1" applyFill="1" applyBorder="1" applyAlignment="1"/>
    <xf numFmtId="37" fontId="22" fillId="0" borderId="18" xfId="0" applyNumberFormat="1" applyFont="1" applyBorder="1" applyAlignment="1">
      <alignment horizontal="right"/>
    </xf>
    <xf numFmtId="193" fontId="18" fillId="0" borderId="17" xfId="34" applyNumberFormat="1" applyFont="1" applyFill="1" applyBorder="1" applyAlignment="1">
      <alignment horizontal="center"/>
    </xf>
    <xf numFmtId="0" fontId="22" fillId="0" borderId="0" xfId="0" applyFont="1" applyAlignment="1">
      <alignment horizontal="left"/>
    </xf>
    <xf numFmtId="164" fontId="17" fillId="0" borderId="0" xfId="34" applyNumberFormat="1" applyFont="1" applyFill="1" applyBorder="1" applyAlignment="1">
      <alignment horizontal="right"/>
    </xf>
    <xf numFmtId="165" fontId="17" fillId="0" borderId="0" xfId="0" applyNumberFormat="1" applyFont="1"/>
    <xf numFmtId="43" fontId="17" fillId="0" borderId="0" xfId="0" applyNumberFormat="1" applyFont="1"/>
    <xf numFmtId="37" fontId="24" fillId="0" borderId="18" xfId="0" applyNumberFormat="1" applyFont="1" applyBorder="1" applyAlignment="1">
      <alignment horizontal="right"/>
    </xf>
    <xf numFmtId="0" fontId="24" fillId="0" borderId="17" xfId="0" applyFont="1" applyBorder="1" applyAlignment="1">
      <alignment horizontal="left" indent="1"/>
    </xf>
    <xf numFmtId="0" fontId="19" fillId="0" borderId="0" xfId="0" applyFont="1"/>
    <xf numFmtId="164" fontId="19" fillId="0" borderId="0" xfId="34" applyNumberFormat="1" applyFont="1" applyFill="1" applyBorder="1" applyAlignment="1">
      <alignment horizontal="center"/>
    </xf>
    <xf numFmtId="164" fontId="19" fillId="0" borderId="27" xfId="34" applyNumberFormat="1" applyFont="1" applyFill="1" applyBorder="1" applyAlignment="1">
      <alignment horizontal="center"/>
    </xf>
    <xf numFmtId="0" fontId="22" fillId="0" borderId="17" xfId="0" applyFont="1" applyBorder="1" applyAlignment="1">
      <alignment horizontal="left" indent="1"/>
    </xf>
    <xf numFmtId="0" fontId="17" fillId="0" borderId="0" xfId="0" applyFont="1" applyAlignment="1">
      <alignment horizontal="left"/>
    </xf>
    <xf numFmtId="0" fontId="17" fillId="0" borderId="23" xfId="0" applyFont="1" applyBorder="1" applyAlignment="1">
      <alignment horizontal="left"/>
    </xf>
    <xf numFmtId="0" fontId="17" fillId="0" borderId="24" xfId="0" applyFont="1" applyBorder="1" applyAlignment="1">
      <alignment horizontal="left"/>
    </xf>
    <xf numFmtId="164" fontId="18" fillId="0" borderId="38" xfId="0" applyNumberFormat="1" applyFont="1" applyBorder="1" applyAlignment="1">
      <alignment horizontal="right"/>
    </xf>
    <xf numFmtId="164" fontId="18" fillId="0" borderId="40" xfId="0" applyNumberFormat="1" applyFont="1" applyBorder="1" applyAlignment="1">
      <alignment horizontal="right"/>
    </xf>
    <xf numFmtId="164" fontId="18" fillId="0" borderId="36" xfId="0" applyNumberFormat="1" applyFont="1" applyBorder="1" applyAlignment="1">
      <alignment horizontal="right"/>
    </xf>
    <xf numFmtId="164" fontId="18" fillId="0" borderId="37" xfId="0" applyNumberFormat="1" applyFont="1" applyBorder="1" applyAlignment="1">
      <alignment horizontal="right"/>
    </xf>
    <xf numFmtId="164" fontId="18" fillId="0" borderId="39" xfId="0" applyNumberFormat="1" applyFont="1" applyBorder="1" applyAlignment="1">
      <alignment horizontal="right"/>
    </xf>
    <xf numFmtId="0" fontId="25" fillId="0" borderId="45" xfId="0" applyFont="1" applyBorder="1"/>
    <xf numFmtId="37" fontId="22" fillId="0" borderId="46" xfId="0" applyNumberFormat="1" applyFont="1" applyBorder="1"/>
    <xf numFmtId="0" fontId="17" fillId="0" borderId="46" xfId="0" applyFont="1" applyBorder="1"/>
    <xf numFmtId="37" fontId="22" fillId="0" borderId="61" xfId="0" applyNumberFormat="1" applyFont="1" applyBorder="1" applyAlignment="1">
      <alignment horizontal="right"/>
    </xf>
    <xf numFmtId="164" fontId="18" fillId="0" borderId="46" xfId="0" applyNumberFormat="1" applyFont="1" applyBorder="1" applyAlignment="1">
      <alignment horizontal="right"/>
    </xf>
    <xf numFmtId="164" fontId="18" fillId="0" borderId="62" xfId="0" applyNumberFormat="1" applyFont="1" applyBorder="1" applyAlignment="1">
      <alignment horizontal="right"/>
    </xf>
    <xf numFmtId="164" fontId="18" fillId="0" borderId="10" xfId="0" applyNumberFormat="1" applyFont="1" applyBorder="1" applyAlignment="1">
      <alignment horizontal="right"/>
    </xf>
    <xf numFmtId="164" fontId="18" fillId="0" borderId="68" xfId="0" applyNumberFormat="1" applyFont="1" applyBorder="1" applyAlignment="1">
      <alignment horizontal="right"/>
    </xf>
    <xf numFmtId="164" fontId="18" fillId="0" borderId="63" xfId="0" applyNumberFormat="1" applyFont="1" applyBorder="1" applyAlignment="1">
      <alignment horizontal="right"/>
    </xf>
    <xf numFmtId="164" fontId="17" fillId="0" borderId="42" xfId="0" applyNumberFormat="1" applyFont="1" applyBorder="1" applyAlignment="1">
      <alignment horizontal="right"/>
    </xf>
    <xf numFmtId="0" fontId="25" fillId="0" borderId="35" xfId="0" applyFont="1" applyBorder="1"/>
    <xf numFmtId="37" fontId="22" fillId="0" borderId="36" xfId="0" applyNumberFormat="1" applyFont="1" applyBorder="1"/>
    <xf numFmtId="0" fontId="17" fillId="0" borderId="36" xfId="0" applyFont="1" applyBorder="1"/>
    <xf numFmtId="37" fontId="24" fillId="0" borderId="37" xfId="0" quotePrefix="1" applyNumberFormat="1" applyFont="1" applyBorder="1" applyAlignment="1">
      <alignment horizontal="right"/>
    </xf>
    <xf numFmtId="193" fontId="18" fillId="0" borderId="0" xfId="0" applyNumberFormat="1" applyFont="1" applyAlignment="1">
      <alignment horizontal="right"/>
    </xf>
    <xf numFmtId="0" fontId="24" fillId="0" borderId="0" xfId="0" applyFont="1"/>
    <xf numFmtId="164" fontId="22" fillId="0" borderId="0" xfId="34" applyNumberFormat="1" applyFont="1" applyFill="1" applyBorder="1" applyAlignment="1"/>
    <xf numFmtId="0" fontId="17" fillId="0" borderId="0" xfId="0" applyFont="1" applyAlignment="1">
      <alignment horizontal="center"/>
    </xf>
    <xf numFmtId="0" fontId="17" fillId="0" borderId="0" xfId="0" applyFont="1" applyBorder="1"/>
    <xf numFmtId="192" fontId="64" fillId="0" borderId="0" xfId="140" applyNumberFormat="1" applyFont="1" applyFill="1" applyBorder="1"/>
    <xf numFmtId="165" fontId="17" fillId="0" borderId="0" xfId="0" applyNumberFormat="1" applyFont="1" applyBorder="1"/>
    <xf numFmtId="0" fontId="19" fillId="0" borderId="0" xfId="0" applyFont="1" applyBorder="1"/>
    <xf numFmtId="2" fontId="18" fillId="0" borderId="17" xfId="0" applyNumberFormat="1" applyFont="1" applyBorder="1"/>
    <xf numFmtId="164" fontId="17" fillId="0" borderId="27" xfId="1" applyNumberFormat="1" applyFont="1" applyFill="1" applyBorder="1" applyAlignment="1">
      <alignment horizontal="center"/>
    </xf>
    <xf numFmtId="164" fontId="17" fillId="0" borderId="0" xfId="1" applyNumberFormat="1" applyFont="1" applyFill="1" applyBorder="1" applyAlignment="1">
      <alignment horizontal="center"/>
    </xf>
    <xf numFmtId="164" fontId="17" fillId="0" borderId="17" xfId="1" applyNumberFormat="1" applyFont="1" applyFill="1" applyBorder="1" applyAlignment="1"/>
    <xf numFmtId="0" fontId="22" fillId="0" borderId="24" xfId="0" applyFont="1" applyBorder="1"/>
    <xf numFmtId="164" fontId="17" fillId="0" borderId="24" xfId="0" applyNumberFormat="1" applyFont="1" applyBorder="1" applyAlignment="1">
      <alignment horizontal="right"/>
    </xf>
    <xf numFmtId="0" fontId="25" fillId="0" borderId="31" xfId="0" applyFont="1" applyBorder="1"/>
    <xf numFmtId="164" fontId="18" fillId="0" borderId="27" xfId="1" applyNumberFormat="1" applyFont="1" applyFill="1" applyBorder="1" applyAlignment="1">
      <alignment horizontal="center"/>
    </xf>
    <xf numFmtId="164" fontId="18" fillId="0" borderId="0" xfId="1" applyNumberFormat="1" applyFont="1" applyFill="1" applyBorder="1" applyAlignment="1">
      <alignment horizontal="center"/>
    </xf>
    <xf numFmtId="193" fontId="18" fillId="0" borderId="17" xfId="1" applyNumberFormat="1" applyFont="1" applyFill="1" applyBorder="1" applyAlignment="1">
      <alignment horizontal="center"/>
    </xf>
    <xf numFmtId="164" fontId="19" fillId="0" borderId="0" xfId="1" applyNumberFormat="1" applyFont="1" applyFill="1" applyBorder="1" applyAlignment="1">
      <alignment horizontal="center"/>
    </xf>
    <xf numFmtId="164" fontId="19" fillId="0" borderId="27" xfId="1" applyNumberFormat="1" applyFont="1" applyFill="1" applyBorder="1" applyAlignment="1">
      <alignment horizontal="center"/>
    </xf>
    <xf numFmtId="167" fontId="19" fillId="0" borderId="17" xfId="0" applyNumberFormat="1" applyFont="1" applyBorder="1"/>
    <xf numFmtId="37" fontId="22" fillId="0" borderId="36" xfId="0" applyNumberFormat="1" applyFont="1" applyBorder="1" applyAlignment="1">
      <alignment horizontal="right"/>
    </xf>
    <xf numFmtId="164" fontId="18" fillId="0" borderId="40" xfId="1" applyNumberFormat="1" applyFont="1" applyFill="1" applyBorder="1" applyAlignment="1">
      <alignment horizontal="center"/>
    </xf>
    <xf numFmtId="164" fontId="18" fillId="0" borderId="36" xfId="1" applyNumberFormat="1" applyFont="1" applyFill="1" applyBorder="1" applyAlignment="1">
      <alignment horizontal="center"/>
    </xf>
    <xf numFmtId="164" fontId="18" fillId="0" borderId="38" xfId="1" applyNumberFormat="1" applyFont="1" applyFill="1" applyBorder="1" applyAlignment="1">
      <alignment horizontal="center"/>
    </xf>
    <xf numFmtId="164" fontId="18" fillId="0" borderId="39" xfId="1" applyNumberFormat="1" applyFont="1" applyFill="1" applyBorder="1" applyAlignment="1">
      <alignment horizontal="center"/>
    </xf>
    <xf numFmtId="164" fontId="17" fillId="0" borderId="18" xfId="1" applyNumberFormat="1" applyFont="1" applyFill="1" applyBorder="1" applyAlignment="1">
      <alignment horizontal="center"/>
    </xf>
    <xf numFmtId="0" fontId="19" fillId="0" borderId="0" xfId="0" quotePrefix="1" applyFont="1"/>
    <xf numFmtId="37" fontId="24" fillId="0" borderId="12" xfId="0" applyNumberFormat="1" applyFont="1" applyBorder="1"/>
    <xf numFmtId="164" fontId="22" fillId="0" borderId="0" xfId="1" applyNumberFormat="1" applyFont="1" applyFill="1" applyBorder="1" applyAlignment="1"/>
    <xf numFmtId="164" fontId="17" fillId="0" borderId="0" xfId="1" applyNumberFormat="1" applyFont="1" applyFill="1" applyBorder="1" applyAlignment="1"/>
    <xf numFmtId="164" fontId="17" fillId="0" borderId="0" xfId="137" applyNumberFormat="1" applyFont="1" applyFill="1" applyBorder="1" applyAlignment="1"/>
    <xf numFmtId="37" fontId="24" fillId="0" borderId="0" xfId="0" applyNumberFormat="1" applyFont="1"/>
    <xf numFmtId="164" fontId="22" fillId="0" borderId="0" xfId="137" applyNumberFormat="1" applyFont="1" applyFill="1" applyBorder="1" applyAlignment="1"/>
    <xf numFmtId="164" fontId="29" fillId="0" borderId="0" xfId="0" applyNumberFormat="1" applyFont="1"/>
    <xf numFmtId="164" fontId="17" fillId="0" borderId="47" xfId="0" applyNumberFormat="1" applyFont="1" applyBorder="1"/>
    <xf numFmtId="164" fontId="17" fillId="0" borderId="14" xfId="0" applyNumberFormat="1" applyFont="1" applyBorder="1"/>
    <xf numFmtId="164" fontId="17" fillId="0" borderId="15" xfId="0" applyNumberFormat="1" applyFont="1" applyBorder="1"/>
    <xf numFmtId="164" fontId="18" fillId="0" borderId="15" xfId="0" applyNumberFormat="1" applyFont="1" applyBorder="1" applyAlignment="1">
      <alignment horizontal="center"/>
    </xf>
    <xf numFmtId="164" fontId="18" fillId="0" borderId="15" xfId="0" quotePrefix="1" applyNumberFormat="1" applyFont="1" applyBorder="1" applyAlignment="1">
      <alignment horizontal="center"/>
    </xf>
    <xf numFmtId="164" fontId="18" fillId="52" borderId="0" xfId="0" applyNumberFormat="1" applyFont="1" applyFill="1" applyAlignment="1">
      <alignment horizontal="right"/>
    </xf>
    <xf numFmtId="164" fontId="18" fillId="0" borderId="23" xfId="0" applyNumberFormat="1" applyFont="1" applyBorder="1" applyAlignment="1">
      <alignment horizontal="left"/>
    </xf>
    <xf numFmtId="164" fontId="18" fillId="0" borderId="24" xfId="0" applyNumberFormat="1" applyFont="1" applyBorder="1" applyAlignment="1">
      <alignment horizontal="center"/>
    </xf>
    <xf numFmtId="164" fontId="18" fillId="0" borderId="29" xfId="0" applyNumberFormat="1" applyFont="1" applyBorder="1" applyAlignment="1">
      <alignment horizontal="right"/>
    </xf>
    <xf numFmtId="164" fontId="18" fillId="52" borderId="24" xfId="0" applyNumberFormat="1" applyFont="1" applyFill="1" applyBorder="1" applyAlignment="1">
      <alignment horizontal="right"/>
    </xf>
    <xf numFmtId="164" fontId="17" fillId="0" borderId="26" xfId="0" applyNumberFormat="1" applyFont="1" applyBorder="1" applyAlignment="1">
      <alignment horizontal="center"/>
    </xf>
    <xf numFmtId="164" fontId="18" fillId="0" borderId="26" xfId="0" applyNumberFormat="1" applyFont="1" applyBorder="1" applyAlignment="1">
      <alignment horizontal="center"/>
    </xf>
    <xf numFmtId="164" fontId="18" fillId="0" borderId="0" xfId="1" applyNumberFormat="1" applyFont="1" applyFill="1" applyBorder="1"/>
    <xf numFmtId="164" fontId="18" fillId="0" borderId="27" xfId="1" applyNumberFormat="1" applyFont="1" applyFill="1" applyBorder="1"/>
    <xf numFmtId="164" fontId="18" fillId="0" borderId="0" xfId="341" applyNumberFormat="1" applyFont="1"/>
    <xf numFmtId="164" fontId="17" fillId="0" borderId="32" xfId="0" applyNumberFormat="1" applyFont="1" applyBorder="1"/>
    <xf numFmtId="164" fontId="17" fillId="0" borderId="20" xfId="0" applyNumberFormat="1" applyFont="1" applyBorder="1"/>
    <xf numFmtId="164" fontId="17" fillId="0" borderId="22" xfId="1" applyNumberFormat="1" applyFont="1" applyFill="1" applyBorder="1"/>
    <xf numFmtId="164" fontId="17" fillId="0" borderId="65" xfId="1" applyNumberFormat="1" applyFont="1" applyFill="1" applyBorder="1"/>
    <xf numFmtId="164" fontId="17" fillId="0" borderId="22" xfId="341" applyNumberFormat="1" applyBorder="1"/>
    <xf numFmtId="164" fontId="17" fillId="0" borderId="19" xfId="341" applyNumberFormat="1" applyBorder="1"/>
    <xf numFmtId="164" fontId="17" fillId="0" borderId="19" xfId="0" applyNumberFormat="1" applyFont="1" applyBorder="1"/>
    <xf numFmtId="164" fontId="17" fillId="0" borderId="26" xfId="341" applyNumberFormat="1" applyBorder="1"/>
    <xf numFmtId="164" fontId="17" fillId="0" borderId="34" xfId="341" applyNumberFormat="1" applyBorder="1"/>
    <xf numFmtId="164" fontId="17" fillId="0" borderId="0" xfId="341" applyNumberFormat="1"/>
    <xf numFmtId="164" fontId="17" fillId="0" borderId="17" xfId="0" applyNumberFormat="1" applyFont="1" applyBorder="1" applyAlignment="1">
      <alignment horizontal="left"/>
    </xf>
    <xf numFmtId="164" fontId="17" fillId="0" borderId="29" xfId="0" applyNumberFormat="1" applyFont="1" applyBorder="1"/>
    <xf numFmtId="164" fontId="17" fillId="0" borderId="24" xfId="341" applyNumberFormat="1" applyBorder="1"/>
    <xf numFmtId="164" fontId="17" fillId="0" borderId="27" xfId="0" applyNumberFormat="1" applyFont="1" applyBorder="1" applyAlignment="1">
      <alignment horizontal="center"/>
    </xf>
    <xf numFmtId="164" fontId="17" fillId="0" borderId="0" xfId="0" applyNumberFormat="1" applyFont="1" applyAlignment="1">
      <alignment horizontal="center"/>
    </xf>
    <xf numFmtId="164" fontId="18" fillId="0" borderId="27" xfId="0" applyNumberFormat="1" applyFont="1" applyBorder="1" applyAlignment="1">
      <alignment horizontal="center"/>
    </xf>
    <xf numFmtId="164" fontId="18" fillId="0" borderId="0" xfId="0" applyNumberFormat="1" applyFont="1" applyAlignment="1">
      <alignment horizontal="center"/>
    </xf>
    <xf numFmtId="164" fontId="17" fillId="0" borderId="32" xfId="0" applyNumberFormat="1" applyFont="1" applyBorder="1" applyAlignment="1">
      <alignment horizontal="center"/>
    </xf>
    <xf numFmtId="194" fontId="17" fillId="0" borderId="26" xfId="0" applyNumberFormat="1" applyFont="1" applyBorder="1" applyAlignment="1">
      <alignment horizontal="right"/>
    </xf>
    <xf numFmtId="194" fontId="17" fillId="0" borderId="27" xfId="0" applyNumberFormat="1" applyFont="1" applyBorder="1" applyAlignment="1">
      <alignment horizontal="right"/>
    </xf>
    <xf numFmtId="194" fontId="17" fillId="0" borderId="26" xfId="0" applyNumberFormat="1" applyFont="1" applyBorder="1" applyAlignment="1">
      <alignment horizontal="center"/>
    </xf>
    <xf numFmtId="194" fontId="17" fillId="0" borderId="27" xfId="0" applyNumberFormat="1" applyFont="1" applyBorder="1" applyAlignment="1">
      <alignment horizontal="center"/>
    </xf>
    <xf numFmtId="164" fontId="17" fillId="0" borderId="69" xfId="0" applyNumberFormat="1" applyFont="1" applyBorder="1"/>
    <xf numFmtId="194" fontId="17" fillId="0" borderId="29" xfId="0" applyNumberFormat="1" applyFont="1" applyBorder="1" applyAlignment="1">
      <alignment horizontal="center"/>
    </xf>
    <xf numFmtId="194" fontId="17" fillId="0" borderId="0" xfId="0" applyNumberFormat="1" applyFont="1" applyAlignment="1">
      <alignment horizontal="center"/>
    </xf>
    <xf numFmtId="194" fontId="17" fillId="0" borderId="0" xfId="0" applyNumberFormat="1" applyFont="1" applyAlignment="1">
      <alignment horizontal="right"/>
    </xf>
    <xf numFmtId="194" fontId="17" fillId="0" borderId="32" xfId="0" applyNumberFormat="1" applyFont="1" applyBorder="1" applyAlignment="1">
      <alignment horizontal="center"/>
    </xf>
    <xf numFmtId="164" fontId="17" fillId="0" borderId="29" xfId="0" applyNumberFormat="1" applyFont="1" applyBorder="1" applyAlignment="1">
      <alignment horizontal="center"/>
    </xf>
    <xf numFmtId="164" fontId="18" fillId="0" borderId="31" xfId="0" applyNumberFormat="1" applyFont="1" applyBorder="1"/>
    <xf numFmtId="164" fontId="18" fillId="0" borderId="20" xfId="0" applyNumberFormat="1" applyFont="1" applyBorder="1"/>
    <xf numFmtId="164" fontId="18" fillId="0" borderId="32" xfId="0" applyNumberFormat="1" applyFont="1" applyBorder="1" applyAlignment="1">
      <alignment horizontal="center"/>
    </xf>
    <xf numFmtId="164" fontId="18" fillId="0" borderId="22" xfId="0" applyNumberFormat="1" applyFont="1" applyBorder="1" applyAlignment="1">
      <alignment horizontal="center"/>
    </xf>
    <xf numFmtId="164" fontId="18" fillId="0" borderId="32" xfId="0" applyNumberFormat="1" applyFont="1" applyBorder="1"/>
    <xf numFmtId="0" fontId="19" fillId="0" borderId="12" xfId="0" applyFont="1" applyBorder="1"/>
    <xf numFmtId="195" fontId="17" fillId="0" borderId="0" xfId="0" applyNumberFormat="1" applyFont="1"/>
    <xf numFmtId="195" fontId="19" fillId="0" borderId="0" xfId="0" applyNumberFormat="1" applyFont="1"/>
    <xf numFmtId="43" fontId="17" fillId="0" borderId="0" xfId="1" applyFont="1" applyFill="1" applyBorder="1"/>
    <xf numFmtId="196" fontId="17" fillId="0" borderId="0" xfId="0" applyNumberFormat="1" applyFont="1"/>
    <xf numFmtId="197" fontId="17" fillId="0" borderId="0" xfId="0" applyNumberFormat="1" applyFont="1"/>
    <xf numFmtId="164" fontId="29" fillId="0" borderId="10" xfId="0" applyNumberFormat="1" applyFont="1" applyBorder="1"/>
    <xf numFmtId="164" fontId="18" fillId="0" borderId="14" xfId="0" applyNumberFormat="1" applyFont="1" applyBorder="1"/>
    <xf numFmtId="164" fontId="18" fillId="0" borderId="15" xfId="0" applyNumberFormat="1" applyFont="1" applyBorder="1"/>
    <xf numFmtId="0" fontId="66" fillId="0" borderId="24" xfId="0" applyFont="1" applyBorder="1"/>
    <xf numFmtId="0" fontId="18" fillId="0" borderId="15" xfId="0" quotePrefix="1" applyFont="1" applyBorder="1" applyAlignment="1">
      <alignment horizontal="center"/>
    </xf>
    <xf numFmtId="164" fontId="18" fillId="0" borderId="29" xfId="0" applyNumberFormat="1" applyFont="1" applyBorder="1" applyAlignment="1">
      <alignment horizontal="left"/>
    </xf>
    <xf numFmtId="164" fontId="18" fillId="0" borderId="24" xfId="0" applyNumberFormat="1" applyFont="1" applyBorder="1" applyAlignment="1">
      <alignment horizontal="left"/>
    </xf>
    <xf numFmtId="164" fontId="18" fillId="0" borderId="29" xfId="0" applyNumberFormat="1" applyFont="1" applyBorder="1" applyAlignment="1">
      <alignment horizontal="center"/>
    </xf>
    <xf numFmtId="164" fontId="17" fillId="0" borderId="17" xfId="0" applyNumberFormat="1" applyFont="1" applyBorder="1" applyAlignment="1">
      <alignment horizontal="center"/>
    </xf>
    <xf numFmtId="164" fontId="17" fillId="0" borderId="22" xfId="0" applyNumberFormat="1" applyFont="1" applyBorder="1" applyAlignment="1">
      <alignment horizontal="center"/>
    </xf>
    <xf numFmtId="164" fontId="18" fillId="0" borderId="0" xfId="341" applyNumberFormat="1" applyFont="1" applyAlignment="1">
      <alignment horizontal="center"/>
    </xf>
    <xf numFmtId="164" fontId="17" fillId="0" borderId="22" xfId="341" applyNumberFormat="1" applyBorder="1" applyAlignment="1">
      <alignment horizontal="center"/>
    </xf>
    <xf numFmtId="164" fontId="17" fillId="0" borderId="20" xfId="0" applyNumberFormat="1" applyFont="1" applyBorder="1" applyAlignment="1">
      <alignment horizontal="center"/>
    </xf>
    <xf numFmtId="164" fontId="17" fillId="0" borderId="0" xfId="341" applyNumberFormat="1" applyAlignment="1">
      <alignment horizontal="center"/>
    </xf>
    <xf numFmtId="164" fontId="17" fillId="0" borderId="18" xfId="0" applyNumberFormat="1" applyFont="1" applyBorder="1" applyAlignment="1">
      <alignment horizontal="center"/>
    </xf>
    <xf numFmtId="164" fontId="17" fillId="0" borderId="24" xfId="341" applyNumberFormat="1" applyBorder="1" applyAlignment="1">
      <alignment horizontal="center"/>
    </xf>
    <xf numFmtId="164" fontId="17" fillId="0" borderId="25" xfId="0" applyNumberFormat="1" applyFont="1" applyBorder="1" applyAlignment="1">
      <alignment horizontal="center"/>
    </xf>
    <xf numFmtId="164" fontId="17" fillId="0" borderId="24" xfId="0" applyNumberFormat="1" applyFont="1" applyBorder="1" applyAlignment="1">
      <alignment horizontal="center"/>
    </xf>
    <xf numFmtId="164" fontId="17" fillId="0" borderId="27" xfId="0" applyNumberFormat="1" applyFont="1" applyBorder="1" applyAlignment="1">
      <alignment horizontal="left"/>
    </xf>
    <xf numFmtId="164" fontId="17" fillId="0" borderId="29" xfId="0" applyNumberFormat="1" applyFont="1" applyBorder="1" applyAlignment="1">
      <alignment horizontal="left"/>
    </xf>
    <xf numFmtId="164" fontId="18" fillId="0" borderId="0" xfId="1" applyNumberFormat="1" applyFont="1" applyFill="1" applyBorder="1" applyAlignment="1">
      <alignment horizontal="right"/>
    </xf>
    <xf numFmtId="164" fontId="18" fillId="0" borderId="27" xfId="1" applyNumberFormat="1" applyFont="1" applyFill="1" applyBorder="1" applyAlignment="1">
      <alignment horizontal="right"/>
    </xf>
    <xf numFmtId="43" fontId="18" fillId="0" borderId="0" xfId="1" applyFont="1" applyFill="1"/>
    <xf numFmtId="164" fontId="17" fillId="0" borderId="22" xfId="1" applyNumberFormat="1" applyFont="1" applyFill="1" applyBorder="1" applyAlignment="1">
      <alignment horizontal="right"/>
    </xf>
    <xf numFmtId="164" fontId="17" fillId="0" borderId="20" xfId="1" applyNumberFormat="1" applyFont="1" applyFill="1" applyBorder="1" applyAlignment="1">
      <alignment horizontal="right"/>
    </xf>
    <xf numFmtId="164" fontId="17" fillId="0" borderId="0" xfId="1" applyNumberFormat="1" applyFont="1" applyFill="1" applyBorder="1" applyAlignment="1">
      <alignment horizontal="right"/>
    </xf>
    <xf numFmtId="164" fontId="17" fillId="0" borderId="27" xfId="1" applyNumberFormat="1" applyFont="1" applyFill="1" applyBorder="1" applyAlignment="1">
      <alignment horizontal="right"/>
    </xf>
    <xf numFmtId="164" fontId="17" fillId="0" borderId="32" xfId="1" applyNumberFormat="1" applyFont="1" applyFill="1" applyBorder="1" applyAlignment="1">
      <alignment horizontal="right"/>
    </xf>
    <xf numFmtId="43" fontId="17" fillId="0" borderId="0" xfId="1" applyFont="1" applyFill="1"/>
    <xf numFmtId="164" fontId="17" fillId="0" borderId="18" xfId="1" applyNumberFormat="1" applyFont="1" applyFill="1" applyBorder="1" applyAlignment="1">
      <alignment horizontal="right"/>
    </xf>
    <xf numFmtId="164" fontId="17" fillId="0" borderId="64" xfId="0" applyNumberFormat="1" applyFont="1" applyBorder="1"/>
    <xf numFmtId="164" fontId="17" fillId="0" borderId="65" xfId="1" applyNumberFormat="1" applyFont="1" applyFill="1" applyBorder="1" applyAlignment="1">
      <alignment horizontal="right"/>
    </xf>
    <xf numFmtId="164" fontId="17" fillId="0" borderId="66" xfId="1" applyNumberFormat="1" applyFont="1" applyFill="1" applyBorder="1" applyAlignment="1">
      <alignment horizontal="right"/>
    </xf>
    <xf numFmtId="164" fontId="17" fillId="0" borderId="64" xfId="1" applyNumberFormat="1" applyFont="1" applyFill="1" applyBorder="1" applyAlignment="1">
      <alignment horizontal="right"/>
    </xf>
    <xf numFmtId="164" fontId="17" fillId="0" borderId="65" xfId="1" applyNumberFormat="1" applyFont="1" applyFill="1" applyBorder="1" applyAlignment="1">
      <alignment horizontal="left"/>
    </xf>
    <xf numFmtId="164" fontId="17" fillId="0" borderId="70" xfId="0" applyNumberFormat="1" applyFont="1" applyBorder="1"/>
    <xf numFmtId="164" fontId="17" fillId="0" borderId="26" xfId="1" applyNumberFormat="1" applyFont="1" applyFill="1" applyBorder="1" applyAlignment="1">
      <alignment horizontal="right"/>
    </xf>
    <xf numFmtId="164" fontId="17" fillId="0" borderId="24" xfId="1" applyNumberFormat="1" applyFont="1" applyFill="1" applyBorder="1" applyAlignment="1">
      <alignment horizontal="right"/>
    </xf>
    <xf numFmtId="164" fontId="17" fillId="0" borderId="25" xfId="1" applyNumberFormat="1" applyFont="1" applyFill="1" applyBorder="1" applyAlignment="1">
      <alignment horizontal="right"/>
    </xf>
    <xf numFmtId="164" fontId="17" fillId="0" borderId="29" xfId="1" applyNumberFormat="1" applyFont="1" applyFill="1" applyBorder="1" applyAlignment="1">
      <alignment horizontal="right"/>
    </xf>
    <xf numFmtId="164" fontId="18" fillId="0" borderId="17" xfId="0" applyNumberFormat="1" applyFont="1" applyBorder="1" applyAlignment="1">
      <alignment horizontal="center"/>
    </xf>
    <xf numFmtId="164" fontId="17" fillId="0" borderId="71" xfId="0" applyNumberFormat="1" applyFont="1" applyBorder="1"/>
    <xf numFmtId="164" fontId="17" fillId="0" borderId="72" xfId="0" applyNumberFormat="1" applyFont="1" applyBorder="1"/>
    <xf numFmtId="164" fontId="17" fillId="0" borderId="10" xfId="1" applyNumberFormat="1" applyFont="1" applyFill="1" applyBorder="1" applyAlignment="1">
      <alignment horizontal="right"/>
    </xf>
    <xf numFmtId="164" fontId="17" fillId="0" borderId="72" xfId="1" applyNumberFormat="1" applyFont="1" applyFill="1" applyBorder="1" applyAlignment="1">
      <alignment horizontal="right"/>
    </xf>
    <xf numFmtId="164" fontId="19" fillId="0" borderId="0" xfId="1" applyNumberFormat="1" applyFont="1" applyFill="1" applyBorder="1" applyAlignment="1">
      <alignment horizontal="left"/>
    </xf>
    <xf numFmtId="164" fontId="17" fillId="0" borderId="11" xfId="0" applyNumberFormat="1" applyFont="1" applyBorder="1" applyAlignment="1">
      <alignment horizontal="right"/>
    </xf>
    <xf numFmtId="0" fontId="18" fillId="0" borderId="24" xfId="0" applyFont="1" applyBorder="1" applyAlignment="1">
      <alignment horizontal="center"/>
    </xf>
    <xf numFmtId="0" fontId="18" fillId="0" borderId="29" xfId="0" applyFont="1" applyBorder="1" applyAlignment="1">
      <alignment horizontal="center"/>
    </xf>
    <xf numFmtId="164" fontId="17" fillId="0" borderId="27" xfId="0" applyNumberFormat="1" applyFont="1" applyBorder="1" applyAlignment="1">
      <alignment horizontal="left" indent="1"/>
    </xf>
    <xf numFmtId="164" fontId="17" fillId="0" borderId="32" xfId="0" applyNumberFormat="1" applyFont="1" applyBorder="1" applyAlignment="1">
      <alignment horizontal="left" indent="1"/>
    </xf>
    <xf numFmtId="164" fontId="17" fillId="0" borderId="22" xfId="0" applyNumberFormat="1" applyFont="1" applyBorder="1" applyAlignment="1">
      <alignment horizontal="left" indent="1"/>
    </xf>
    <xf numFmtId="164" fontId="17" fillId="0" borderId="29" xfId="0" applyNumberFormat="1" applyFont="1" applyBorder="1" applyAlignment="1">
      <alignment horizontal="left" indent="1"/>
    </xf>
    <xf numFmtId="164" fontId="17" fillId="0" borderId="24" xfId="0" applyNumberFormat="1" applyFont="1" applyBorder="1" applyAlignment="1">
      <alignment horizontal="left" indent="1"/>
    </xf>
    <xf numFmtId="164" fontId="18" fillId="0" borderId="27" xfId="0" applyNumberFormat="1" applyFont="1" applyBorder="1" applyAlignment="1">
      <alignment horizontal="left"/>
    </xf>
    <xf numFmtId="164" fontId="17" fillId="0" borderId="64" xfId="0" applyNumberFormat="1" applyFont="1" applyBorder="1" applyAlignment="1">
      <alignment horizontal="left" indent="1"/>
    </xf>
    <xf numFmtId="192" fontId="17" fillId="0" borderId="65" xfId="1" applyNumberFormat="1" applyFont="1" applyFill="1" applyBorder="1" applyAlignment="1">
      <alignment horizontal="right"/>
    </xf>
    <xf numFmtId="164" fontId="17" fillId="0" borderId="65" xfId="0" applyNumberFormat="1" applyFont="1" applyBorder="1"/>
    <xf numFmtId="164" fontId="18" fillId="0" borderId="24" xfId="1" applyNumberFormat="1" applyFont="1" applyFill="1" applyBorder="1" applyAlignment="1">
      <alignment horizontal="right"/>
    </xf>
    <xf numFmtId="164" fontId="22" fillId="0" borderId="0" xfId="1" applyNumberFormat="1" applyFont="1" applyFill="1" applyBorder="1" applyAlignment="1">
      <alignment horizontal="right"/>
    </xf>
    <xf numFmtId="164" fontId="22" fillId="0" borderId="27" xfId="1" applyNumberFormat="1" applyFont="1" applyFill="1" applyBorder="1" applyAlignment="1">
      <alignment horizontal="right"/>
    </xf>
    <xf numFmtId="164" fontId="22" fillId="0" borderId="10" xfId="1" applyNumberFormat="1" applyFont="1" applyFill="1" applyBorder="1" applyAlignment="1">
      <alignment horizontal="right"/>
    </xf>
    <xf numFmtId="164" fontId="22" fillId="0" borderId="72" xfId="1" applyNumberFormat="1" applyFont="1" applyFill="1" applyBorder="1" applyAlignment="1">
      <alignment horizontal="right"/>
    </xf>
    <xf numFmtId="164" fontId="22" fillId="0" borderId="12" xfId="1" applyNumberFormat="1" applyFont="1" applyFill="1" applyBorder="1" applyAlignment="1">
      <alignment horizontal="right"/>
    </xf>
    <xf numFmtId="164" fontId="17" fillId="0" borderId="12" xfId="1" applyNumberFormat="1" applyFont="1" applyFill="1" applyBorder="1" applyAlignment="1">
      <alignment horizontal="right"/>
    </xf>
    <xf numFmtId="164" fontId="19" fillId="0" borderId="27" xfId="0" applyNumberFormat="1" applyFont="1" applyBorder="1"/>
    <xf numFmtId="164" fontId="21" fillId="0" borderId="12" xfId="0" applyNumberFormat="1" applyFont="1" applyBorder="1" applyAlignment="1">
      <alignment horizontal="right"/>
    </xf>
    <xf numFmtId="164" fontId="18" fillId="0" borderId="73" xfId="0" applyNumberFormat="1" applyFont="1" applyBorder="1"/>
    <xf numFmtId="164" fontId="18" fillId="0" borderId="12" xfId="0" applyNumberFormat="1" applyFont="1" applyBorder="1" applyAlignment="1">
      <alignment horizontal="center"/>
    </xf>
    <xf numFmtId="164" fontId="21" fillId="0" borderId="24" xfId="0" applyNumberFormat="1" applyFont="1" applyBorder="1" applyAlignment="1">
      <alignment horizontal="right"/>
    </xf>
    <xf numFmtId="164" fontId="18" fillId="0" borderId="17" xfId="1" applyNumberFormat="1" applyFont="1" applyFill="1" applyBorder="1" applyAlignment="1">
      <alignment horizontal="center"/>
    </xf>
    <xf numFmtId="164" fontId="17" fillId="0" borderId="22" xfId="1" applyNumberFormat="1" applyFont="1" applyFill="1" applyBorder="1" applyAlignment="1">
      <alignment horizontal="center"/>
    </xf>
    <xf numFmtId="164" fontId="17" fillId="0" borderId="20" xfId="1" applyNumberFormat="1" applyFont="1" applyFill="1" applyBorder="1" applyAlignment="1">
      <alignment horizontal="center"/>
    </xf>
    <xf numFmtId="164" fontId="17" fillId="0" borderId="32" xfId="1" applyNumberFormat="1" applyFont="1" applyFill="1" applyBorder="1" applyAlignment="1">
      <alignment horizontal="center"/>
    </xf>
    <xf numFmtId="164" fontId="17" fillId="0" borderId="17" xfId="1" applyNumberFormat="1" applyFont="1" applyFill="1" applyBorder="1" applyAlignment="1">
      <alignment horizontal="center"/>
    </xf>
    <xf numFmtId="164" fontId="17" fillId="0" borderId="19" xfId="1" applyNumberFormat="1" applyFont="1" applyFill="1" applyBorder="1" applyAlignment="1">
      <alignment horizontal="center"/>
    </xf>
    <xf numFmtId="164" fontId="17" fillId="0" borderId="19" xfId="1" applyNumberFormat="1" applyFont="1" applyFill="1" applyBorder="1" applyAlignment="1">
      <alignment horizontal="right"/>
    </xf>
    <xf numFmtId="164" fontId="17" fillId="0" borderId="34" xfId="1" applyNumberFormat="1" applyFont="1" applyFill="1" applyBorder="1" applyAlignment="1">
      <alignment horizontal="center"/>
    </xf>
    <xf numFmtId="164" fontId="17" fillId="0" borderId="34" xfId="1" applyNumberFormat="1" applyFont="1" applyFill="1" applyBorder="1" applyAlignment="1">
      <alignment horizontal="right"/>
    </xf>
    <xf numFmtId="164" fontId="17" fillId="0" borderId="24" xfId="1" applyNumberFormat="1" applyFont="1" applyFill="1" applyBorder="1" applyAlignment="1">
      <alignment horizontal="center"/>
    </xf>
    <xf numFmtId="164" fontId="17" fillId="0" borderId="25" xfId="1" applyNumberFormat="1" applyFont="1" applyFill="1" applyBorder="1" applyAlignment="1">
      <alignment horizontal="center"/>
    </xf>
    <xf numFmtId="164" fontId="17" fillId="0" borderId="29" xfId="1" applyNumberFormat="1" applyFont="1" applyFill="1" applyBorder="1" applyAlignment="1">
      <alignment horizontal="center"/>
    </xf>
    <xf numFmtId="198" fontId="17" fillId="0" borderId="0" xfId="34" applyNumberFormat="1" applyFont="1" applyFill="1" applyBorder="1" applyAlignment="1">
      <alignment horizontal="right"/>
    </xf>
    <xf numFmtId="164" fontId="17" fillId="0" borderId="17" xfId="0" quotePrefix="1" applyNumberFormat="1" applyFont="1" applyBorder="1"/>
    <xf numFmtId="164" fontId="18" fillId="0" borderId="65" xfId="0" applyNumberFormat="1" applyFont="1" applyBorder="1"/>
    <xf numFmtId="164" fontId="17" fillId="0" borderId="65" xfId="1" applyNumberFormat="1" applyFont="1" applyFill="1" applyBorder="1" applyAlignment="1">
      <alignment horizontal="center"/>
    </xf>
    <xf numFmtId="164" fontId="17" fillId="0" borderId="26" xfId="1" applyNumberFormat="1" applyFont="1" applyFill="1" applyBorder="1" applyAlignment="1">
      <alignment horizontal="center"/>
    </xf>
    <xf numFmtId="199" fontId="17" fillId="0" borderId="0" xfId="0" applyNumberFormat="1" applyFont="1"/>
    <xf numFmtId="164" fontId="18" fillId="0" borderId="65" xfId="1" applyNumberFormat="1" applyFont="1" applyFill="1" applyBorder="1" applyAlignment="1">
      <alignment horizontal="center"/>
    </xf>
    <xf numFmtId="164" fontId="18" fillId="0" borderId="26" xfId="1" applyNumberFormat="1" applyFont="1" applyFill="1" applyBorder="1" applyAlignment="1">
      <alignment horizontal="center"/>
    </xf>
    <xf numFmtId="164" fontId="18" fillId="0" borderId="65" xfId="1" applyNumberFormat="1" applyFont="1" applyFill="1" applyBorder="1" applyAlignment="1">
      <alignment horizontal="right"/>
    </xf>
    <xf numFmtId="164" fontId="19" fillId="0" borderId="10" xfId="0" applyNumberFormat="1" applyFont="1" applyBorder="1" applyAlignment="1">
      <alignment horizontal="right"/>
    </xf>
    <xf numFmtId="164" fontId="19" fillId="0" borderId="0" xfId="0" quotePrefix="1" applyNumberFormat="1" applyFont="1"/>
    <xf numFmtId="164" fontId="19" fillId="0" borderId="0" xfId="0" quotePrefix="1" applyNumberFormat="1" applyFont="1" applyAlignment="1">
      <alignment horizontal="right"/>
    </xf>
    <xf numFmtId="200" fontId="17" fillId="0" borderId="0" xfId="1" applyNumberFormat="1" applyFont="1" applyFill="1"/>
    <xf numFmtId="201" fontId="17" fillId="0" borderId="0" xfId="0" applyNumberFormat="1" applyFont="1"/>
    <xf numFmtId="202" fontId="17" fillId="0" borderId="0" xfId="0" applyNumberFormat="1" applyFont="1"/>
    <xf numFmtId="203" fontId="17" fillId="0" borderId="0" xfId="1" applyNumberFormat="1" applyFont="1" applyFill="1"/>
    <xf numFmtId="165" fontId="17" fillId="0" borderId="0" xfId="34" applyFont="1" applyFill="1" applyBorder="1"/>
    <xf numFmtId="164" fontId="17" fillId="0" borderId="0" xfId="34" applyNumberFormat="1" applyFont="1" applyFill="1" applyBorder="1"/>
    <xf numFmtId="204" fontId="17" fillId="0" borderId="0" xfId="0" applyNumberFormat="1" applyFont="1"/>
    <xf numFmtId="0" fontId="17" fillId="0" borderId="0" xfId="0" applyFont="1" applyAlignment="1">
      <alignment horizontal="right"/>
    </xf>
    <xf numFmtId="204" fontId="17" fillId="0" borderId="0" xfId="34" applyNumberFormat="1" applyFont="1" applyFill="1" applyBorder="1"/>
    <xf numFmtId="165" fontId="17" fillId="0" borderId="0" xfId="34" applyFont="1" applyFill="1"/>
    <xf numFmtId="0" fontId="17" fillId="0" borderId="33" xfId="0" applyFont="1" applyBorder="1"/>
    <xf numFmtId="0" fontId="18" fillId="0" borderId="12" xfId="0" applyFont="1" applyBorder="1"/>
    <xf numFmtId="0" fontId="18" fillId="0" borderId="12" xfId="0" applyFont="1" applyBorder="1" applyAlignment="1">
      <alignment horizontal="right"/>
    </xf>
    <xf numFmtId="0" fontId="18" fillId="0" borderId="23" xfId="0" applyFont="1" applyBorder="1"/>
    <xf numFmtId="0" fontId="18" fillId="0" borderId="34" xfId="278" applyFont="1" applyBorder="1" applyAlignment="1">
      <alignment horizontal="right"/>
    </xf>
    <xf numFmtId="0" fontId="18" fillId="0" borderId="34" xfId="0" applyFont="1" applyBorder="1" applyAlignment="1">
      <alignment horizontal="center"/>
    </xf>
    <xf numFmtId="0" fontId="17" fillId="0" borderId="27" xfId="0" applyFont="1" applyBorder="1" applyAlignment="1">
      <alignment horizontal="center"/>
    </xf>
    <xf numFmtId="0" fontId="17" fillId="0" borderId="26" xfId="0" applyFont="1" applyBorder="1" applyAlignment="1">
      <alignment horizontal="center"/>
    </xf>
    <xf numFmtId="0" fontId="19" fillId="0" borderId="0" xfId="0" applyFont="1" applyAlignment="1">
      <alignment horizontal="right"/>
    </xf>
    <xf numFmtId="0" fontId="17" fillId="0" borderId="17" xfId="0" applyFont="1" applyBorder="1" applyAlignment="1">
      <alignment horizontal="right"/>
    </xf>
    <xf numFmtId="205" fontId="17" fillId="0" borderId="0" xfId="0" applyNumberFormat="1" applyFont="1" applyAlignment="1">
      <alignment horizontal="right"/>
    </xf>
    <xf numFmtId="164" fontId="22" fillId="0" borderId="27" xfId="34" applyNumberFormat="1" applyFont="1" applyFill="1" applyBorder="1" applyAlignment="1">
      <alignment horizontal="right"/>
    </xf>
    <xf numFmtId="164" fontId="22" fillId="0" borderId="26" xfId="34" applyNumberFormat="1" applyFont="1" applyFill="1" applyBorder="1" applyAlignment="1">
      <alignment horizontal="right"/>
    </xf>
    <xf numFmtId="164" fontId="17" fillId="0" borderId="27" xfId="34" applyNumberFormat="1" applyFont="1" applyFill="1" applyBorder="1" applyAlignment="1">
      <alignment horizontal="right"/>
    </xf>
    <xf numFmtId="0" fontId="18" fillId="0" borderId="33" xfId="0" applyFont="1" applyBorder="1"/>
    <xf numFmtId="164" fontId="25" fillId="0" borderId="27" xfId="34" applyNumberFormat="1" applyFont="1" applyFill="1" applyBorder="1" applyAlignment="1">
      <alignment horizontal="right"/>
    </xf>
    <xf numFmtId="164" fontId="25" fillId="0" borderId="26" xfId="34" applyNumberFormat="1" applyFont="1" applyFill="1" applyBorder="1" applyAlignment="1">
      <alignment horizontal="right"/>
    </xf>
    <xf numFmtId="0" fontId="18" fillId="0" borderId="17" xfId="0" applyFont="1" applyBorder="1" applyAlignment="1">
      <alignment horizontal="right"/>
    </xf>
    <xf numFmtId="0" fontId="17" fillId="0" borderId="0" xfId="0" quotePrefix="1" applyFont="1" applyAlignment="1">
      <alignment horizontal="right"/>
    </xf>
    <xf numFmtId="164" fontId="18" fillId="0" borderId="72" xfId="34" applyNumberFormat="1" applyFont="1" applyFill="1" applyBorder="1" applyAlignment="1">
      <alignment horizontal="right"/>
    </xf>
    <xf numFmtId="164" fontId="18" fillId="0" borderId="62" xfId="34" applyNumberFormat="1" applyFont="1" applyFill="1" applyBorder="1" applyAlignment="1">
      <alignment horizontal="right"/>
    </xf>
    <xf numFmtId="165" fontId="17" fillId="0" borderId="0" xfId="0" applyNumberFormat="1" applyFont="1" applyAlignment="1">
      <alignment horizontal="right"/>
    </xf>
    <xf numFmtId="0" fontId="17" fillId="0" borderId="0" xfId="0" applyFont="1" applyAlignment="1">
      <alignment horizontal="left" indent="1"/>
    </xf>
    <xf numFmtId="0" fontId="19" fillId="0" borderId="18" xfId="0" applyFont="1" applyBorder="1" applyAlignment="1">
      <alignment horizontal="right"/>
    </xf>
    <xf numFmtId="164" fontId="17" fillId="0" borderId="18" xfId="34" applyNumberFormat="1" applyFont="1" applyFill="1" applyBorder="1" applyAlignment="1">
      <alignment horizontal="right"/>
    </xf>
    <xf numFmtId="0" fontId="17" fillId="0" borderId="41" xfId="0" applyFont="1" applyBorder="1"/>
    <xf numFmtId="0" fontId="17" fillId="0" borderId="10" xfId="0" applyFont="1" applyBorder="1" applyAlignment="1">
      <alignment horizontal="right"/>
    </xf>
    <xf numFmtId="164" fontId="17" fillId="0" borderId="72" xfId="34" applyNumberFormat="1" applyFont="1" applyFill="1" applyBorder="1" applyAlignment="1">
      <alignment horizontal="right"/>
    </xf>
    <xf numFmtId="164" fontId="17" fillId="0" borderId="62" xfId="34" applyNumberFormat="1" applyFont="1" applyFill="1" applyBorder="1" applyAlignment="1">
      <alignment horizontal="right"/>
    </xf>
    <xf numFmtId="164" fontId="17" fillId="0" borderId="46" xfId="34" applyNumberFormat="1" applyFont="1" applyFill="1" applyBorder="1" applyAlignment="1">
      <alignment horizontal="right"/>
    </xf>
    <xf numFmtId="0" fontId="22" fillId="0" borderId="11" xfId="0" applyFont="1" applyBorder="1"/>
    <xf numFmtId="0" fontId="67" fillId="0" borderId="12" xfId="0" applyFont="1" applyBorder="1"/>
    <xf numFmtId="0" fontId="17" fillId="0" borderId="12" xfId="0" applyFont="1" applyBorder="1"/>
    <xf numFmtId="0" fontId="17" fillId="0" borderId="12" xfId="0" applyFont="1" applyBorder="1" applyAlignment="1">
      <alignment horizontal="right"/>
    </xf>
    <xf numFmtId="164" fontId="17" fillId="0" borderId="73" xfId="34" applyNumberFormat="1" applyFont="1" applyFill="1" applyBorder="1" applyAlignment="1">
      <alignment horizontal="right"/>
    </xf>
    <xf numFmtId="164" fontId="17" fillId="0" borderId="47" xfId="34" applyNumberFormat="1" applyFont="1" applyFill="1" applyBorder="1" applyAlignment="1">
      <alignment horizontal="right"/>
    </xf>
    <xf numFmtId="0" fontId="68" fillId="0" borderId="0" xfId="0" applyFont="1"/>
    <xf numFmtId="0" fontId="67" fillId="0" borderId="17" xfId="0" applyFont="1" applyBorder="1"/>
    <xf numFmtId="0" fontId="67" fillId="0" borderId="0" xfId="0" applyFont="1"/>
    <xf numFmtId="164" fontId="17" fillId="0" borderId="27" xfId="278" applyNumberFormat="1" applyFont="1" applyBorder="1"/>
    <xf numFmtId="0" fontId="19" fillId="0" borderId="0" xfId="0" applyFont="1" applyAlignment="1">
      <alignment horizontal="left"/>
    </xf>
    <xf numFmtId="0" fontId="19" fillId="0" borderId="0" xfId="0" quotePrefix="1" applyFont="1" applyAlignment="1">
      <alignment horizontal="left"/>
    </xf>
    <xf numFmtId="0" fontId="19" fillId="0" borderId="0" xfId="0" quotePrefix="1" applyFont="1" applyAlignment="1">
      <alignment vertical="top"/>
    </xf>
    <xf numFmtId="0" fontId="69" fillId="0" borderId="0" xfId="0" applyFont="1" applyAlignment="1">
      <alignment vertical="top"/>
    </xf>
    <xf numFmtId="167" fontId="17" fillId="0" borderId="0" xfId="34" applyNumberFormat="1" applyFont="1" applyFill="1" applyBorder="1" applyAlignment="1">
      <alignment horizontal="right"/>
    </xf>
    <xf numFmtId="206" fontId="17" fillId="0" borderId="0" xfId="34" applyNumberFormat="1" applyFont="1" applyFill="1" applyBorder="1" applyAlignment="1">
      <alignment horizontal="right"/>
    </xf>
    <xf numFmtId="0" fontId="17" fillId="0" borderId="0" xfId="0" applyFont="1" applyFill="1" applyBorder="1"/>
    <xf numFmtId="0" fontId="17" fillId="0" borderId="0" xfId="0" applyFont="1" applyFill="1" applyBorder="1" applyAlignment="1">
      <alignment horizontal="right"/>
    </xf>
    <xf numFmtId="164" fontId="17" fillId="0" borderId="0" xfId="0" applyNumberFormat="1" applyFont="1" applyFill="1" applyBorder="1"/>
    <xf numFmtId="165" fontId="17" fillId="0" borderId="0" xfId="0" applyNumberFormat="1" applyFont="1" applyFill="1" applyBorder="1"/>
    <xf numFmtId="0" fontId="20" fillId="0" borderId="0" xfId="0" applyFont="1"/>
    <xf numFmtId="0" fontId="29" fillId="0" borderId="10" xfId="0" applyFont="1" applyBorder="1"/>
    <xf numFmtId="0" fontId="20" fillId="0" borderId="10" xfId="0" applyFont="1" applyBorder="1"/>
    <xf numFmtId="0" fontId="20" fillId="0" borderId="17" xfId="0" applyFont="1" applyBorder="1"/>
    <xf numFmtId="0" fontId="18" fillId="0" borderId="19" xfId="278" applyFont="1" applyBorder="1" applyAlignment="1">
      <alignment horizontal="right"/>
    </xf>
    <xf numFmtId="0" fontId="18" fillId="0" borderId="0" xfId="0" applyFont="1" applyAlignment="1">
      <alignment horizontal="center"/>
    </xf>
    <xf numFmtId="165" fontId="62" fillId="0" borderId="17" xfId="0" applyNumberFormat="1" applyFont="1" applyBorder="1"/>
    <xf numFmtId="164" fontId="20" fillId="0" borderId="0" xfId="0" applyNumberFormat="1" applyFont="1"/>
    <xf numFmtId="165" fontId="20" fillId="0" borderId="17" xfId="0" applyNumberFormat="1" applyFont="1" applyBorder="1"/>
    <xf numFmtId="164" fontId="17" fillId="0" borderId="26" xfId="278" applyNumberFormat="1" applyFont="1" applyBorder="1" applyAlignment="1">
      <alignment horizontal="right"/>
    </xf>
    <xf numFmtId="165" fontId="20" fillId="0" borderId="0" xfId="0" applyNumberFormat="1" applyFont="1"/>
    <xf numFmtId="0" fontId="68" fillId="0" borderId="17" xfId="0" applyFont="1" applyBorder="1"/>
    <xf numFmtId="0" fontId="68" fillId="0" borderId="41" xfId="0" applyFont="1" applyBorder="1"/>
    <xf numFmtId="0" fontId="17" fillId="0" borderId="10" xfId="0" quotePrefix="1" applyFont="1" applyBorder="1"/>
    <xf numFmtId="0" fontId="17" fillId="0" borderId="10" xfId="0" quotePrefix="1" applyFont="1" applyBorder="1" applyAlignment="1">
      <alignment horizontal="right"/>
    </xf>
    <xf numFmtId="164" fontId="17" fillId="0" borderId="62" xfId="0" applyNumberFormat="1" applyFont="1" applyBorder="1" applyAlignment="1">
      <alignment horizontal="right"/>
    </xf>
    <xf numFmtId="164" fontId="17" fillId="0" borderId="62" xfId="1" applyNumberFormat="1" applyFont="1" applyFill="1" applyBorder="1" applyAlignment="1">
      <alignment horizontal="right"/>
    </xf>
    <xf numFmtId="0" fontId="22" fillId="0" borderId="41" xfId="0" applyFont="1" applyBorder="1"/>
    <xf numFmtId="194" fontId="17" fillId="0" borderId="62" xfId="0" applyNumberFormat="1" applyFont="1" applyBorder="1" applyAlignment="1">
      <alignment horizontal="right"/>
    </xf>
    <xf numFmtId="165" fontId="62" fillId="0" borderId="0" xfId="0" applyNumberFormat="1" applyFont="1"/>
    <xf numFmtId="0" fontId="62" fillId="0" borderId="0" xfId="0" applyFont="1"/>
    <xf numFmtId="164" fontId="62" fillId="0" borderId="0" xfId="0" applyNumberFormat="1" applyFont="1"/>
    <xf numFmtId="0" fontId="70" fillId="0" borderId="0" xfId="0" applyFont="1"/>
    <xf numFmtId="0" fontId="71" fillId="0" borderId="0" xfId="0" applyFont="1"/>
    <xf numFmtId="0" fontId="40" fillId="0" borderId="0" xfId="0" applyFont="1"/>
    <xf numFmtId="43" fontId="20" fillId="0" borderId="0" xfId="1" applyFont="1" applyFill="1"/>
    <xf numFmtId="43" fontId="20" fillId="0" borderId="0" xfId="1" applyFont="1"/>
    <xf numFmtId="164" fontId="20" fillId="0" borderId="0" xfId="1" applyNumberFormat="1" applyFont="1" applyFill="1"/>
    <xf numFmtId="164" fontId="20" fillId="0" borderId="0" xfId="1" applyNumberFormat="1" applyFont="1"/>
    <xf numFmtId="207" fontId="20" fillId="0" borderId="0" xfId="1" applyNumberFormat="1" applyFont="1" applyFill="1"/>
    <xf numFmtId="164" fontId="62" fillId="0" borderId="0" xfId="1" applyNumberFormat="1" applyFont="1" applyFill="1"/>
    <xf numFmtId="0" fontId="48" fillId="0" borderId="77" xfId="0" applyFont="1" applyBorder="1" applyAlignment="1">
      <alignment vertical="center"/>
    </xf>
    <xf numFmtId="0" fontId="48" fillId="0" borderId="0" xfId="0" applyFont="1" applyAlignment="1">
      <alignment vertical="center"/>
    </xf>
    <xf numFmtId="0" fontId="62" fillId="0" borderId="77" xfId="0" applyFont="1" applyBorder="1" applyAlignment="1">
      <alignment horizontal="left" vertical="center" wrapText="1"/>
    </xf>
    <xf numFmtId="0" fontId="48" fillId="0" borderId="0" xfId="0" applyFont="1" applyAlignment="1">
      <alignment horizontal="right"/>
    </xf>
    <xf numFmtId="0" fontId="48" fillId="0" borderId="0" xfId="0" applyFont="1"/>
    <xf numFmtId="0" fontId="72" fillId="0" borderId="0" xfId="0" applyFont="1"/>
    <xf numFmtId="165" fontId="48" fillId="0" borderId="0" xfId="34" applyFont="1" applyFill="1" applyBorder="1"/>
    <xf numFmtId="0" fontId="48" fillId="0" borderId="10" xfId="0" applyFont="1" applyBorder="1"/>
    <xf numFmtId="0" fontId="72" fillId="0" borderId="10" xfId="0" applyFont="1" applyBorder="1"/>
    <xf numFmtId="165" fontId="48" fillId="0" borderId="10" xfId="34" applyFont="1" applyFill="1" applyBorder="1"/>
    <xf numFmtId="0" fontId="18" fillId="0" borderId="73" xfId="0" applyFont="1" applyBorder="1"/>
    <xf numFmtId="0" fontId="18" fillId="0" borderId="27" xfId="0" applyFont="1" applyBorder="1" applyAlignment="1">
      <alignment horizontal="center"/>
    </xf>
    <xf numFmtId="164" fontId="18" fillId="0" borderId="34" xfId="34" applyNumberFormat="1" applyFont="1" applyFill="1" applyBorder="1" applyAlignment="1">
      <alignment horizontal="right"/>
    </xf>
    <xf numFmtId="0" fontId="18" fillId="0" borderId="31" xfId="0" applyFont="1" applyBorder="1"/>
    <xf numFmtId="0" fontId="18" fillId="0" borderId="22" xfId="0" applyFont="1" applyBorder="1"/>
    <xf numFmtId="0" fontId="18" fillId="0" borderId="32" xfId="0" applyFont="1" applyBorder="1" applyAlignment="1">
      <alignment horizontal="center"/>
    </xf>
    <xf numFmtId="0" fontId="18" fillId="0" borderId="19" xfId="0" applyFont="1" applyBorder="1" applyAlignment="1">
      <alignment horizontal="center"/>
    </xf>
    <xf numFmtId="0" fontId="18" fillId="0" borderId="20" xfId="0" applyFont="1" applyBorder="1" applyAlignment="1">
      <alignment horizontal="center"/>
    </xf>
    <xf numFmtId="164" fontId="18" fillId="0" borderId="20" xfId="0" applyNumberFormat="1" applyFont="1" applyBorder="1" applyAlignment="1">
      <alignment horizontal="center"/>
    </xf>
    <xf numFmtId="164" fontId="18" fillId="0" borderId="80" xfId="0" applyNumberFormat="1" applyFont="1" applyBorder="1" applyAlignment="1">
      <alignment horizontal="right"/>
    </xf>
    <xf numFmtId="0" fontId="18" fillId="0" borderId="52" xfId="0" applyFont="1" applyBorder="1" applyAlignment="1">
      <alignment horizontal="right"/>
    </xf>
    <xf numFmtId="0" fontId="18" fillId="0" borderId="81" xfId="0" applyFont="1" applyBorder="1" applyAlignment="1">
      <alignment horizontal="right"/>
    </xf>
    <xf numFmtId="165" fontId="17" fillId="0" borderId="26" xfId="34" applyFont="1" applyFill="1" applyBorder="1" applyAlignment="1">
      <alignment horizontal="right"/>
    </xf>
    <xf numFmtId="165" fontId="17" fillId="0" borderId="18" xfId="34" applyFont="1" applyFill="1" applyBorder="1" applyAlignment="1">
      <alignment horizontal="right"/>
    </xf>
    <xf numFmtId="0" fontId="21" fillId="0" borderId="17" xfId="0" applyFont="1" applyBorder="1"/>
    <xf numFmtId="0" fontId="21" fillId="0" borderId="27" xfId="0" applyFont="1" applyBorder="1" applyAlignment="1">
      <alignment horizontal="center"/>
    </xf>
    <xf numFmtId="0" fontId="21" fillId="0" borderId="17" xfId="0" applyFont="1" applyBorder="1" applyAlignment="1">
      <alignment horizontal="left" indent="1"/>
    </xf>
    <xf numFmtId="0" fontId="18" fillId="0" borderId="0" xfId="0" applyFont="1" applyAlignment="1">
      <alignment horizontal="left" indent="1"/>
    </xf>
    <xf numFmtId="0" fontId="22" fillId="0" borderId="0" xfId="0" applyFont="1" applyAlignment="1">
      <alignment horizontal="left" wrapText="1"/>
    </xf>
    <xf numFmtId="0" fontId="18" fillId="0" borderId="27" xfId="0" applyFont="1" applyBorder="1" applyAlignment="1">
      <alignment horizontal="left" indent="1"/>
    </xf>
    <xf numFmtId="164" fontId="17" fillId="0" borderId="26" xfId="34" applyNumberFormat="1" applyFont="1" applyFill="1" applyBorder="1" applyAlignment="1">
      <alignment horizontal="left" indent="1"/>
    </xf>
    <xf numFmtId="0" fontId="17" fillId="0" borderId="17" xfId="0" applyFont="1" applyBorder="1" applyAlignment="1">
      <alignment horizontal="left" indent="1"/>
    </xf>
    <xf numFmtId="0" fontId="19" fillId="0" borderId="0" xfId="0" applyFont="1" applyAlignment="1">
      <alignment horizontal="left" indent="1"/>
    </xf>
    <xf numFmtId="0" fontId="19" fillId="0" borderId="17" xfId="0" applyFont="1" applyBorder="1"/>
    <xf numFmtId="0" fontId="19" fillId="0" borderId="0" xfId="0" applyFont="1" applyAlignment="1">
      <alignment wrapText="1"/>
    </xf>
    <xf numFmtId="0" fontId="19" fillId="0" borderId="27" xfId="0" applyFont="1" applyBorder="1" applyAlignment="1">
      <alignment horizontal="center"/>
    </xf>
    <xf numFmtId="0" fontId="24" fillId="0" borderId="0" xfId="0" applyFont="1" applyAlignment="1">
      <alignment horizontal="left" wrapText="1" indent="1"/>
    </xf>
    <xf numFmtId="0" fontId="17" fillId="0" borderId="0" xfId="278" applyFont="1"/>
    <xf numFmtId="193" fontId="18" fillId="0" borderId="19" xfId="34" applyNumberFormat="1" applyFont="1" applyFill="1" applyBorder="1" applyAlignment="1">
      <alignment horizontal="right"/>
    </xf>
    <xf numFmtId="193" fontId="18" fillId="0" borderId="20" xfId="34" applyNumberFormat="1" applyFont="1" applyFill="1" applyBorder="1" applyAlignment="1">
      <alignment horizontal="right"/>
    </xf>
    <xf numFmtId="37" fontId="17" fillId="0" borderId="34" xfId="34" applyNumberFormat="1" applyFont="1" applyFill="1" applyBorder="1" applyAlignment="1">
      <alignment horizontal="right"/>
    </xf>
    <xf numFmtId="37" fontId="17" fillId="0" borderId="25" xfId="34" applyNumberFormat="1" applyFont="1" applyFill="1" applyBorder="1" applyAlignment="1">
      <alignment horizontal="right"/>
    </xf>
    <xf numFmtId="164" fontId="21" fillId="0" borderId="19" xfId="34" applyNumberFormat="1" applyFont="1" applyFill="1" applyBorder="1" applyAlignment="1">
      <alignment horizontal="right"/>
    </xf>
    <xf numFmtId="164" fontId="21" fillId="0" borderId="20" xfId="34" applyNumberFormat="1" applyFont="1" applyFill="1" applyBorder="1" applyAlignment="1">
      <alignment horizontal="right"/>
    </xf>
    <xf numFmtId="164" fontId="21" fillId="0" borderId="26" xfId="34" applyNumberFormat="1" applyFont="1" applyFill="1" applyBorder="1" applyAlignment="1">
      <alignment horizontal="right"/>
    </xf>
    <xf numFmtId="164" fontId="21" fillId="0" borderId="18" xfId="34" applyNumberFormat="1" applyFont="1" applyFill="1" applyBorder="1" applyAlignment="1">
      <alignment horizontal="right"/>
    </xf>
    <xf numFmtId="0" fontId="21" fillId="0" borderId="0" xfId="0" applyFont="1"/>
    <xf numFmtId="4" fontId="17" fillId="0" borderId="0" xfId="0" applyNumberFormat="1" applyFont="1"/>
    <xf numFmtId="0" fontId="21" fillId="0" borderId="17" xfId="0" applyFont="1" applyBorder="1" applyAlignment="1">
      <alignment horizontal="right"/>
    </xf>
    <xf numFmtId="0" fontId="21" fillId="0" borderId="0" xfId="0" applyFont="1" applyAlignment="1">
      <alignment horizontal="right"/>
    </xf>
    <xf numFmtId="164" fontId="17" fillId="0" borderId="34" xfId="34" applyNumberFormat="1" applyFont="1" applyFill="1" applyBorder="1" applyAlignment="1">
      <alignment horizontal="right"/>
    </xf>
    <xf numFmtId="164" fontId="17" fillId="0" borderId="25" xfId="34" applyNumberFormat="1" applyFont="1" applyFill="1" applyBorder="1" applyAlignment="1">
      <alignment horizontal="right"/>
    </xf>
    <xf numFmtId="37" fontId="18" fillId="0" borderId="19" xfId="34" applyNumberFormat="1" applyFont="1" applyFill="1" applyBorder="1" applyAlignment="1">
      <alignment horizontal="right"/>
    </xf>
    <xf numFmtId="37" fontId="18" fillId="0" borderId="20" xfId="34" applyNumberFormat="1" applyFont="1" applyFill="1" applyBorder="1" applyAlignment="1">
      <alignment horizontal="right"/>
    </xf>
    <xf numFmtId="0" fontId="17" fillId="0" borderId="72" xfId="0" applyFont="1" applyBorder="1" applyAlignment="1">
      <alignment horizontal="center"/>
    </xf>
    <xf numFmtId="164" fontId="17" fillId="0" borderId="82" xfId="34" applyNumberFormat="1" applyFont="1" applyFill="1" applyBorder="1" applyAlignment="1">
      <alignment horizontal="right"/>
    </xf>
    <xf numFmtId="0" fontId="69" fillId="0" borderId="0" xfId="0" applyFont="1"/>
    <xf numFmtId="164" fontId="48" fillId="0" borderId="0" xfId="34" applyNumberFormat="1" applyFont="1" applyFill="1" applyBorder="1" applyAlignment="1">
      <alignment horizontal="right"/>
    </xf>
    <xf numFmtId="0" fontId="62" fillId="0" borderId="75" xfId="0" applyFont="1" applyBorder="1" applyAlignment="1">
      <alignment horizontal="left" vertical="center" wrapText="1"/>
    </xf>
    <xf numFmtId="0" fontId="62" fillId="0" borderId="76" xfId="0" applyFont="1" applyBorder="1" applyAlignment="1">
      <alignment horizontal="left" vertical="center" wrapText="1"/>
    </xf>
    <xf numFmtId="0" fontId="20" fillId="0" borderId="78" xfId="0" applyFont="1" applyBorder="1" applyAlignment="1">
      <alignment horizontal="left" vertical="center" wrapText="1"/>
    </xf>
    <xf numFmtId="0" fontId="20" fillId="0" borderId="79" xfId="0" applyFont="1" applyBorder="1" applyAlignment="1">
      <alignment horizontal="left" vertical="center" wrapText="1"/>
    </xf>
    <xf numFmtId="17" fontId="18" fillId="0" borderId="14" xfId="0" quotePrefix="1" applyNumberFormat="1" applyFont="1" applyBorder="1" applyAlignment="1">
      <alignment horizontal="center"/>
    </xf>
    <xf numFmtId="17" fontId="18" fillId="0" borderId="15" xfId="0" quotePrefix="1" applyNumberFormat="1" applyFont="1" applyBorder="1" applyAlignment="1">
      <alignment horizontal="center"/>
    </xf>
    <xf numFmtId="17" fontId="18" fillId="0" borderId="74" xfId="0" quotePrefix="1" applyNumberFormat="1" applyFont="1" applyBorder="1" applyAlignment="1">
      <alignment horizontal="center"/>
    </xf>
    <xf numFmtId="0" fontId="18" fillId="0" borderId="0" xfId="0" applyFont="1" applyAlignment="1">
      <alignment horizontal="center"/>
    </xf>
    <xf numFmtId="164" fontId="19" fillId="0" borderId="0" xfId="0" applyNumberFormat="1" applyFont="1" applyAlignment="1">
      <alignment horizontal="left"/>
    </xf>
    <xf numFmtId="164" fontId="18" fillId="0" borderId="45" xfId="0" applyNumberFormat="1" applyFont="1" applyBorder="1" applyAlignment="1">
      <alignment horizontal="left" vertical="top"/>
    </xf>
    <xf numFmtId="164" fontId="18" fillId="0" borderId="46" xfId="0" applyNumberFormat="1" applyFont="1" applyBorder="1" applyAlignment="1">
      <alignment horizontal="left" vertical="top"/>
    </xf>
    <xf numFmtId="164" fontId="17" fillId="0" borderId="17" xfId="0" applyNumberFormat="1" applyFont="1" applyBorder="1" applyAlignment="1">
      <alignment horizontal="left" indent="1"/>
    </xf>
    <xf numFmtId="164" fontId="17" fillId="0" borderId="0" xfId="0" applyNumberFormat="1" applyFont="1" applyAlignment="1">
      <alignment horizontal="left" indent="1"/>
    </xf>
    <xf numFmtId="164" fontId="17" fillId="0" borderId="18" xfId="0" applyNumberFormat="1" applyFont="1" applyBorder="1" applyAlignment="1">
      <alignment horizontal="left" indent="1"/>
    </xf>
    <xf numFmtId="164" fontId="17" fillId="0" borderId="17" xfId="0" applyNumberFormat="1" applyFont="1" applyBorder="1" applyAlignment="1">
      <alignment horizontal="left"/>
    </xf>
    <xf numFmtId="164" fontId="17" fillId="0" borderId="0" xfId="0" applyNumberFormat="1" applyFont="1" applyAlignment="1">
      <alignment horizontal="left"/>
    </xf>
    <xf numFmtId="164" fontId="17" fillId="0" borderId="18" xfId="0" applyNumberFormat="1" applyFont="1" applyBorder="1" applyAlignment="1">
      <alignment horizontal="left"/>
    </xf>
    <xf numFmtId="164" fontId="17" fillId="0" borderId="23" xfId="0" applyNumberFormat="1" applyFont="1" applyBorder="1" applyAlignment="1">
      <alignment horizontal="left"/>
    </xf>
    <xf numFmtId="164" fontId="17" fillId="0" borderId="24" xfId="0" applyNumberFormat="1" applyFont="1" applyBorder="1" applyAlignment="1">
      <alignment horizontal="left"/>
    </xf>
    <xf numFmtId="164" fontId="17" fillId="0" borderId="25" xfId="0" applyNumberFormat="1" applyFont="1" applyBorder="1" applyAlignment="1">
      <alignment horizontal="left"/>
    </xf>
    <xf numFmtId="164" fontId="19" fillId="0" borderId="12" xfId="0" applyNumberFormat="1" applyFont="1" applyBorder="1" applyAlignment="1">
      <alignment horizontal="left"/>
    </xf>
    <xf numFmtId="164" fontId="22" fillId="0" borderId="0" xfId="0" applyNumberFormat="1" applyFont="1" applyAlignment="1">
      <alignment horizontal="left"/>
    </xf>
    <xf numFmtId="164" fontId="22" fillId="0" borderId="18" xfId="0" applyNumberFormat="1" applyFont="1" applyBorder="1" applyAlignment="1">
      <alignment horizontal="left"/>
    </xf>
    <xf numFmtId="164" fontId="18" fillId="0" borderId="0" xfId="0" applyNumberFormat="1" applyFont="1" applyAlignment="1">
      <alignment horizontal="left"/>
    </xf>
    <xf numFmtId="164" fontId="18" fillId="0" borderId="14" xfId="0" quotePrefix="1" applyNumberFormat="1" applyFont="1" applyBorder="1" applyAlignment="1">
      <alignment horizontal="center"/>
    </xf>
    <xf numFmtId="164" fontId="18" fillId="0" borderId="15" xfId="0" quotePrefix="1" applyNumberFormat="1" applyFont="1" applyBorder="1" applyAlignment="1">
      <alignment horizontal="center"/>
    </xf>
    <xf numFmtId="164" fontId="17" fillId="0" borderId="0" xfId="0" applyNumberFormat="1" applyFont="1"/>
    <xf numFmtId="0" fontId="0" fillId="0" borderId="0" xfId="0"/>
    <xf numFmtId="0" fontId="0" fillId="0" borderId="18" xfId="0" applyBorder="1"/>
    <xf numFmtId="37" fontId="17" fillId="0" borderId="0" xfId="0" applyNumberFormat="1" applyFont="1" applyAlignment="1">
      <alignment horizontal="left"/>
    </xf>
    <xf numFmtId="0" fontId="18" fillId="0" borderId="64" xfId="0" applyFont="1" applyBorder="1" applyAlignment="1">
      <alignment horizontal="center"/>
    </xf>
    <xf numFmtId="0" fontId="0" fillId="0" borderId="65" xfId="0" applyBorder="1" applyAlignment="1">
      <alignment horizontal="center"/>
    </xf>
    <xf numFmtId="0" fontId="0" fillId="0" borderId="66" xfId="0" applyBorder="1" applyAlignment="1">
      <alignment horizontal="center"/>
    </xf>
    <xf numFmtId="0" fontId="18" fillId="0" borderId="14" xfId="0" quotePrefix="1" applyFont="1" applyBorder="1" applyAlignment="1">
      <alignment horizontal="center"/>
    </xf>
    <xf numFmtId="0" fontId="0" fillId="0" borderId="15" xfId="0" applyBorder="1"/>
    <xf numFmtId="0" fontId="0" fillId="0" borderId="16" xfId="0" applyBorder="1"/>
    <xf numFmtId="0" fontId="18" fillId="0" borderId="65" xfId="0" applyFont="1" applyBorder="1" applyAlignment="1">
      <alignment horizontal="center"/>
    </xf>
    <xf numFmtId="0" fontId="0" fillId="0" borderId="67" xfId="0" applyBorder="1" applyAlignment="1">
      <alignment horizontal="center"/>
    </xf>
    <xf numFmtId="164" fontId="18" fillId="0" borderId="15" xfId="0" applyNumberFormat="1" applyFont="1" applyBorder="1" applyAlignment="1">
      <alignment horizontal="center"/>
    </xf>
    <xf numFmtId="0" fontId="18" fillId="0" borderId="24" xfId="0" quotePrefix="1" applyFont="1" applyBorder="1" applyAlignment="1">
      <alignment horizontal="center"/>
    </xf>
    <xf numFmtId="0" fontId="18" fillId="0" borderId="24" xfId="0" applyFont="1" applyBorder="1" applyAlignment="1">
      <alignment horizontal="center"/>
    </xf>
    <xf numFmtId="164" fontId="18" fillId="0" borderId="24" xfId="0" applyNumberFormat="1" applyFont="1" applyBorder="1" applyAlignment="1">
      <alignment horizontal="center"/>
    </xf>
    <xf numFmtId="164" fontId="18" fillId="0" borderId="12" xfId="0" quotePrefix="1" applyNumberFormat="1" applyFont="1" applyBorder="1" applyAlignment="1">
      <alignment horizontal="center"/>
    </xf>
    <xf numFmtId="164" fontId="18" fillId="0" borderId="12" xfId="0" applyNumberFormat="1" applyFont="1" applyBorder="1" applyAlignment="1">
      <alignment horizontal="center"/>
    </xf>
    <xf numFmtId="164" fontId="19" fillId="0" borderId="12" xfId="0" quotePrefix="1" applyNumberFormat="1" applyFont="1" applyBorder="1" applyAlignment="1">
      <alignment horizontal="left"/>
    </xf>
    <xf numFmtId="0" fontId="18" fillId="0" borderId="15" xfId="0" applyFont="1" applyBorder="1" applyAlignment="1">
      <alignment horizontal="center"/>
    </xf>
    <xf numFmtId="0" fontId="18" fillId="0" borderId="74" xfId="0" applyFont="1" applyBorder="1" applyAlignment="1">
      <alignment horizontal="center"/>
    </xf>
  </cellXfs>
  <cellStyles count="469">
    <cellStyle name="20% - Accent1" xfId="17" builtinId="30" customBuiltin="1"/>
    <cellStyle name="20% - Accent1 2" xfId="46"/>
    <cellStyle name="20% - Accent1 3" xfId="47"/>
    <cellStyle name="20% - Accent2" xfId="20" builtinId="34" customBuiltin="1"/>
    <cellStyle name="20% - Accent2 2" xfId="48"/>
    <cellStyle name="20% - Accent2 3" xfId="49"/>
    <cellStyle name="20% - Accent3" xfId="23" builtinId="38" customBuiltin="1"/>
    <cellStyle name="20% - Accent3 2" xfId="50"/>
    <cellStyle name="20% - Accent3 3" xfId="51"/>
    <cellStyle name="20% - Accent4" xfId="26" builtinId="42" customBuiltin="1"/>
    <cellStyle name="20% - Accent4 2" xfId="52"/>
    <cellStyle name="20% - Accent4 3" xfId="53"/>
    <cellStyle name="20% - Accent5" xfId="29" builtinId="46" customBuiltin="1"/>
    <cellStyle name="20% - Accent5 2" xfId="54"/>
    <cellStyle name="20% - Accent5 3" xfId="55"/>
    <cellStyle name="20% - Accent6" xfId="32" builtinId="50" customBuiltin="1"/>
    <cellStyle name="20% - Accent6 2" xfId="56"/>
    <cellStyle name="20% - Accent6 3" xfId="57"/>
    <cellStyle name="40% - Accent1" xfId="18" builtinId="31" customBuiltin="1"/>
    <cellStyle name="40% - Accent1 2" xfId="58"/>
    <cellStyle name="40% - Accent1 3" xfId="59"/>
    <cellStyle name="40% - Accent2" xfId="21" builtinId="35" customBuiltin="1"/>
    <cellStyle name="40% - Accent2 2" xfId="60"/>
    <cellStyle name="40% - Accent2 3" xfId="61"/>
    <cellStyle name="40% - Accent3" xfId="24" builtinId="39" customBuiltin="1"/>
    <cellStyle name="40% - Accent3 2" xfId="62"/>
    <cellStyle name="40% - Accent3 3" xfId="63"/>
    <cellStyle name="40% - Accent4" xfId="27" builtinId="43" customBuiltin="1"/>
    <cellStyle name="40% - Accent4 2" xfId="64"/>
    <cellStyle name="40% - Accent4 3" xfId="65"/>
    <cellStyle name="40% - Accent5" xfId="30" builtinId="47" customBuiltin="1"/>
    <cellStyle name="40% - Accent5 2" xfId="66"/>
    <cellStyle name="40% - Accent5 3" xfId="67"/>
    <cellStyle name="40% - Accent6" xfId="33" builtinId="51" customBuiltin="1"/>
    <cellStyle name="40% - Accent6 2" xfId="68"/>
    <cellStyle name="40% - Accent6 3" xfId="69"/>
    <cellStyle name="60% - Accent1 2" xfId="71"/>
    <cellStyle name="60% - Accent1 3" xfId="72"/>
    <cellStyle name="60% - Accent1 4" xfId="70"/>
    <cellStyle name="60% - Accent2 2" xfId="74"/>
    <cellStyle name="60% - Accent2 3" xfId="75"/>
    <cellStyle name="60% - Accent2 4" xfId="73"/>
    <cellStyle name="60% - Accent3 2" xfId="77"/>
    <cellStyle name="60% - Accent3 3" xfId="78"/>
    <cellStyle name="60% - Accent3 4" xfId="76"/>
    <cellStyle name="60% - Accent4 2" xfId="80"/>
    <cellStyle name="60% - Accent4 3" xfId="81"/>
    <cellStyle name="60% - Accent4 4" xfId="79"/>
    <cellStyle name="60% - Accent5 2" xfId="83"/>
    <cellStyle name="60% - Accent5 3" xfId="84"/>
    <cellStyle name="60% - Accent5 4" xfId="82"/>
    <cellStyle name="60% - Accent6 2" xfId="86"/>
    <cellStyle name="60% - Accent6 3" xfId="87"/>
    <cellStyle name="60% - Accent6 4" xfId="85"/>
    <cellStyle name="Accent1" xfId="16" builtinId="29" customBuiltin="1"/>
    <cellStyle name="Accent1 2" xfId="88"/>
    <cellStyle name="Accent1 3" xfId="89"/>
    <cellStyle name="Accent2" xfId="19" builtinId="33" customBuiltin="1"/>
    <cellStyle name="Accent2 2" xfId="90"/>
    <cellStyle name="Accent2 3" xfId="91"/>
    <cellStyle name="Accent3" xfId="22" builtinId="37" customBuiltin="1"/>
    <cellStyle name="Accent3 2" xfId="92"/>
    <cellStyle name="Accent3 3" xfId="93"/>
    <cellStyle name="Accent4" xfId="25" builtinId="41" customBuiltin="1"/>
    <cellStyle name="Accent4 2" xfId="94"/>
    <cellStyle name="Accent4 3" xfId="95"/>
    <cellStyle name="Accent5" xfId="28" builtinId="45" customBuiltin="1"/>
    <cellStyle name="Accent5 2" xfId="96"/>
    <cellStyle name="Accent5 3" xfId="97"/>
    <cellStyle name="Accent6" xfId="31" builtinId="49" customBuiltin="1"/>
    <cellStyle name="Accent6 2" xfId="98"/>
    <cellStyle name="Accent6 3" xfId="99"/>
    <cellStyle name="Bad" xfId="7" builtinId="27" customBuiltin="1"/>
    <cellStyle name="Bad 2" xfId="100"/>
    <cellStyle name="Bad 3" xfId="101"/>
    <cellStyle name="Calc Currency (0)" xfId="102"/>
    <cellStyle name="Calc Currency (0) 2" xfId="103"/>
    <cellStyle name="Calc Currency (0) 3" xfId="104"/>
    <cellStyle name="Calc Currency (2)" xfId="105"/>
    <cellStyle name="Calc Currency (2) 2" xfId="106"/>
    <cellStyle name="Calc Currency (2) 3" xfId="107"/>
    <cellStyle name="Calc Percent (0)" xfId="108"/>
    <cellStyle name="Calc Percent (0) 2" xfId="109"/>
    <cellStyle name="Calc Percent (0) 3" xfId="110"/>
    <cellStyle name="Calc Percent (1)" xfId="111"/>
    <cellStyle name="Calc Percent (1) 2" xfId="112"/>
    <cellStyle name="Calc Percent (1) 3" xfId="113"/>
    <cellStyle name="Calc Percent (2)" xfId="114"/>
    <cellStyle name="Calc Percent (2) 2" xfId="115"/>
    <cellStyle name="Calc Percent (2) 3" xfId="116"/>
    <cellStyle name="Calc Units (0)" xfId="117"/>
    <cellStyle name="Calc Units (0) 2" xfId="118"/>
    <cellStyle name="Calc Units (0) 3" xfId="119"/>
    <cellStyle name="Calc Units (1)" xfId="120"/>
    <cellStyle name="Calc Units (1) 2" xfId="121"/>
    <cellStyle name="Calc Units (1) 3" xfId="122"/>
    <cellStyle name="Calc Units (2)" xfId="123"/>
    <cellStyle name="Calc Units (2) 2" xfId="124"/>
    <cellStyle name="Calc Units (2) 3" xfId="125"/>
    <cellStyle name="Calculation" xfId="10" builtinId="22" customBuiltin="1"/>
    <cellStyle name="Calculation 2" xfId="126"/>
    <cellStyle name="Calculation 3" xfId="127"/>
    <cellStyle name="Check Cell" xfId="12" builtinId="23" customBuiltin="1"/>
    <cellStyle name="Check Cell 2" xfId="128"/>
    <cellStyle name="Check Cell 3" xfId="129"/>
    <cellStyle name="Comma" xfId="1" builtinId="3"/>
    <cellStyle name="Comma [00]" xfId="131"/>
    <cellStyle name="Comma [00] 2" xfId="132"/>
    <cellStyle name="Comma [00] 3" xfId="133"/>
    <cellStyle name="Comma 10" xfId="134"/>
    <cellStyle name="Comma 11" xfId="135"/>
    <cellStyle name="Comma 12" xfId="136"/>
    <cellStyle name="Comma 13" xfId="137"/>
    <cellStyle name="Comma 14" xfId="138"/>
    <cellStyle name="Comma 15" xfId="139"/>
    <cellStyle name="Comma 16" xfId="140"/>
    <cellStyle name="Comma 17" xfId="141"/>
    <cellStyle name="Comma 18" xfId="142"/>
    <cellStyle name="Comma 19" xfId="130"/>
    <cellStyle name="Comma 2" xfId="143"/>
    <cellStyle name="Comma 2 2" xfId="34"/>
    <cellStyle name="Comma 3" xfId="144"/>
    <cellStyle name="Comma 35" xfId="40"/>
    <cellStyle name="Comma 37 4" xfId="39"/>
    <cellStyle name="Comma 4" xfId="145"/>
    <cellStyle name="Comma 5" xfId="146"/>
    <cellStyle name="Comma 6" xfId="147"/>
    <cellStyle name="Comma 7" xfId="148"/>
    <cellStyle name="Comma 8" xfId="149"/>
    <cellStyle name="Comma 9" xfId="150"/>
    <cellStyle name="Comma0" xfId="151"/>
    <cellStyle name="Comma0 2" xfId="152"/>
    <cellStyle name="Couma_#B P&amp;L Evolution_BINV" xfId="153"/>
    <cellStyle name="Currency [00]" xfId="154"/>
    <cellStyle name="Currency [00] 2" xfId="155"/>
    <cellStyle name="Currency [00] 3" xfId="156"/>
    <cellStyle name="Currency0" xfId="157"/>
    <cellStyle name="Currency0 2" xfId="158"/>
    <cellStyle name="Currency0 2 2" xfId="159"/>
    <cellStyle name="Currency0 3" xfId="160"/>
    <cellStyle name="Date" xfId="161"/>
    <cellStyle name="Date 2" xfId="162"/>
    <cellStyle name="Date Short" xfId="163"/>
    <cellStyle name="Date_01 Econ Class-Reciepts" xfId="164"/>
    <cellStyle name="Dezimal [0]_Compiling Utility Macros" xfId="165"/>
    <cellStyle name="Dezimal_Compiling Utility Macros" xfId="166"/>
    <cellStyle name="Enter Currency (0)" xfId="167"/>
    <cellStyle name="Enter Currency (0) 2" xfId="168"/>
    <cellStyle name="Enter Currency (0) 3" xfId="169"/>
    <cellStyle name="Enter Currency (2)" xfId="170"/>
    <cellStyle name="Enter Currency (2) 2" xfId="171"/>
    <cellStyle name="Enter Currency (2) 3" xfId="172"/>
    <cellStyle name="Enter Units (0)" xfId="173"/>
    <cellStyle name="Enter Units (0) 2" xfId="174"/>
    <cellStyle name="Enter Units (0) 3" xfId="175"/>
    <cellStyle name="Enter Units (1)" xfId="176"/>
    <cellStyle name="Enter Units (1) 2" xfId="177"/>
    <cellStyle name="Enter Units (1) 3" xfId="178"/>
    <cellStyle name="Enter Units (2)" xfId="179"/>
    <cellStyle name="Enter Units (2) 2" xfId="180"/>
    <cellStyle name="Enter Units (2) 3" xfId="181"/>
    <cellStyle name="Explanatory Text" xfId="14" builtinId="53" customBuiltin="1"/>
    <cellStyle name="Explanatory Text 2" xfId="182"/>
    <cellStyle name="Explanatory Text 3" xfId="183"/>
    <cellStyle name="F2" xfId="184"/>
    <cellStyle name="F3" xfId="185"/>
    <cellStyle name="F3 2" xfId="186"/>
    <cellStyle name="F4" xfId="187"/>
    <cellStyle name="F5" xfId="188"/>
    <cellStyle name="F6" xfId="189"/>
    <cellStyle name="F7" xfId="190"/>
    <cellStyle name="F8" xfId="191"/>
    <cellStyle name="Fixed" xfId="192"/>
    <cellStyle name="Fixed 2" xfId="193"/>
    <cellStyle name="Good" xfId="6" builtinId="26" customBuiltin="1"/>
    <cellStyle name="Good 2" xfId="194"/>
    <cellStyle name="Good 3" xfId="195"/>
    <cellStyle name="Grey" xfId="196"/>
    <cellStyle name="Grey 2" xfId="197"/>
    <cellStyle name="Grey_1" xfId="198"/>
    <cellStyle name="Header1" xfId="199"/>
    <cellStyle name="Header2" xfId="200"/>
    <cellStyle name="Heading 1" xfId="2" builtinId="16" customBuiltin="1"/>
    <cellStyle name="Heading 1 2" xfId="201"/>
    <cellStyle name="Heading 1 3" xfId="202"/>
    <cellStyle name="Heading 1 4" xfId="203"/>
    <cellStyle name="Heading 2" xfId="3" builtinId="17" customBuiltin="1"/>
    <cellStyle name="Heading 2 2" xfId="204"/>
    <cellStyle name="Heading 2 2 2" xfId="205"/>
    <cellStyle name="Heading 2 3" xfId="206"/>
    <cellStyle name="Heading 2 4" xfId="207"/>
    <cellStyle name="Heading 3" xfId="4" builtinId="18" customBuiltin="1"/>
    <cellStyle name="Heading 3 2" xfId="208"/>
    <cellStyle name="Heading 3 3" xfId="209"/>
    <cellStyle name="Heading 4" xfId="5" builtinId="19" customBuiltin="1"/>
    <cellStyle name="Heading 4 2" xfId="210"/>
    <cellStyle name="Heading 4 3" xfId="211"/>
    <cellStyle name="HEADING1" xfId="212"/>
    <cellStyle name="HEADING1 2" xfId="213"/>
    <cellStyle name="HEADING2" xfId="214"/>
    <cellStyle name="HEADING2 2" xfId="215"/>
    <cellStyle name="HEADING2 2 2" xfId="216"/>
    <cellStyle name="HEADING2 3" xfId="217"/>
    <cellStyle name="HEADING2_1" xfId="218"/>
    <cellStyle name="Hyperlink 2" xfId="219"/>
    <cellStyle name="Hyperlink 3" xfId="220"/>
    <cellStyle name="Input" xfId="8" builtinId="20" customBuiltin="1"/>
    <cellStyle name="Input [yellow]" xfId="221"/>
    <cellStyle name="Input [yellow] 2" xfId="222"/>
    <cellStyle name="Input [yellow]_1" xfId="223"/>
    <cellStyle name="Input 2" xfId="224"/>
    <cellStyle name="Input 3" xfId="225"/>
    <cellStyle name="Input 4" xfId="226"/>
    <cellStyle name="Input 5" xfId="227"/>
    <cellStyle name="Link Currency (0)" xfId="228"/>
    <cellStyle name="Link Currency (0) 2" xfId="229"/>
    <cellStyle name="Link Currency (0) 3" xfId="230"/>
    <cellStyle name="Link Currency (2)" xfId="231"/>
    <cellStyle name="Link Currency (2) 2" xfId="232"/>
    <cellStyle name="Link Currency (2) 3" xfId="233"/>
    <cellStyle name="Link Units (0)" xfId="234"/>
    <cellStyle name="Link Units (0) 2" xfId="235"/>
    <cellStyle name="Link Units (0) 3" xfId="236"/>
    <cellStyle name="Link Units (1)" xfId="237"/>
    <cellStyle name="Link Units (1) 2" xfId="238"/>
    <cellStyle name="Link Units (1) 3" xfId="239"/>
    <cellStyle name="Link Units (2)" xfId="240"/>
    <cellStyle name="Link Units (2) 2" xfId="241"/>
    <cellStyle name="Link Units (2) 3" xfId="242"/>
    <cellStyle name="Linked Cell" xfId="11" builtinId="24" customBuiltin="1"/>
    <cellStyle name="Linked Cell 2" xfId="243"/>
    <cellStyle name="Linked Cell 3" xfId="244"/>
    <cellStyle name="Monétaire [0]_rwhite" xfId="245"/>
    <cellStyle name="Monétaire_rwhite" xfId="246"/>
    <cellStyle name="Neutral 2" xfId="248"/>
    <cellStyle name="Neutral 3" xfId="249"/>
    <cellStyle name="Neutral 4" xfId="247"/>
    <cellStyle name="Normal" xfId="0" builtinId="0"/>
    <cellStyle name="Normal - Style1" xfId="250"/>
    <cellStyle name="Normal - Style1 2" xfId="251"/>
    <cellStyle name="Normal - Style1 3" xfId="252"/>
    <cellStyle name="Normal 10" xfId="253"/>
    <cellStyle name="Normal 10 2" xfId="254"/>
    <cellStyle name="Normal 10 2 2" xfId="255"/>
    <cellStyle name="Normal 10 2 2 2" xfId="256"/>
    <cellStyle name="Normal 10 2 3" xfId="257"/>
    <cellStyle name="Normal 10 3" xfId="258"/>
    <cellStyle name="Normal 10 3 2" xfId="259"/>
    <cellStyle name="Normal 10 3 2 2" xfId="260"/>
    <cellStyle name="Normal 10 3 3" xfId="261"/>
    <cellStyle name="Normal 10 4" xfId="262"/>
    <cellStyle name="Normal 11" xfId="263"/>
    <cellStyle name="Normal 11 2" xfId="264"/>
    <cellStyle name="Normal 12" xfId="265"/>
    <cellStyle name="Normal 12 2" xfId="266"/>
    <cellStyle name="Normal 13" xfId="267"/>
    <cellStyle name="Normal 13 2" xfId="268"/>
    <cellStyle name="Normal 14" xfId="269"/>
    <cellStyle name="Normal 14 2" xfId="270"/>
    <cellStyle name="Normal 15" xfId="271"/>
    <cellStyle name="Normal 15 2" xfId="272"/>
    <cellStyle name="Normal 16" xfId="273"/>
    <cellStyle name="Normal 16 2" xfId="274"/>
    <cellStyle name="Normal 17" xfId="275"/>
    <cellStyle name="Normal 18" xfId="276"/>
    <cellStyle name="Normal 19" xfId="277"/>
    <cellStyle name="Normal 2" xfId="278"/>
    <cellStyle name="Normal 2 2" xfId="38"/>
    <cellStyle name="Normal 2 2 2" xfId="280"/>
    <cellStyle name="Normal 2 2 3" xfId="281"/>
    <cellStyle name="Normal 2 2 3 2" xfId="282"/>
    <cellStyle name="Normal 2 2 4" xfId="283"/>
    <cellStyle name="Normal 2 2 5" xfId="279"/>
    <cellStyle name="Normal 2 3" xfId="284"/>
    <cellStyle name="Normal 2 3 2" xfId="285"/>
    <cellStyle name="Normal 2 3 2 2" xfId="286"/>
    <cellStyle name="Normal 2 3 3" xfId="287"/>
    <cellStyle name="Normal 2 4" xfId="288"/>
    <cellStyle name="Normal 2 4 2" xfId="289"/>
    <cellStyle name="Normal 2 4 2 2" xfId="290"/>
    <cellStyle name="Normal 2 4 3" xfId="291"/>
    <cellStyle name="Normal 2 5" xfId="292"/>
    <cellStyle name="Normal 20" xfId="293"/>
    <cellStyle name="Normal 21" xfId="294"/>
    <cellStyle name="Normal 22" xfId="295"/>
    <cellStyle name="Normal 23" xfId="296"/>
    <cellStyle name="Normal 24" xfId="297"/>
    <cellStyle name="Normal 25" xfId="298"/>
    <cellStyle name="Normal 26" xfId="299"/>
    <cellStyle name="Normal 27" xfId="300"/>
    <cellStyle name="Normal 28" xfId="301"/>
    <cellStyle name="Normal 29" xfId="302"/>
    <cellStyle name="Normal 29 2" xfId="303"/>
    <cellStyle name="Normal 29 2 2" xfId="304"/>
    <cellStyle name="Normal 29 3" xfId="305"/>
    <cellStyle name="Normal 3" xfId="306"/>
    <cellStyle name="Normal 3 2" xfId="307"/>
    <cellStyle name="Normal 3 2 2" xfId="308"/>
    <cellStyle name="Normal 3 2 2 2" xfId="309"/>
    <cellStyle name="Normal 3 2 3" xfId="310"/>
    <cellStyle name="Normal 3 3" xfId="311"/>
    <cellStyle name="Normal 3 3 2" xfId="312"/>
    <cellStyle name="Normal 3 3 2 2" xfId="313"/>
    <cellStyle name="Normal 3 3 3" xfId="314"/>
    <cellStyle name="Normal 3 4" xfId="315"/>
    <cellStyle name="Normal 3 4 2" xfId="316"/>
    <cellStyle name="Normal 3 4 2 2" xfId="317"/>
    <cellStyle name="Normal 3 4 3" xfId="318"/>
    <cellStyle name="Normal 30" xfId="319"/>
    <cellStyle name="Normal 31" xfId="320"/>
    <cellStyle name="Normal 31 2" xfId="321"/>
    <cellStyle name="Normal 31 2 2" xfId="322"/>
    <cellStyle name="Normal 31 3" xfId="323"/>
    <cellStyle name="Normal 32" xfId="324"/>
    <cellStyle name="Normal 32 2" xfId="325"/>
    <cellStyle name="Normal 32 2 2" xfId="326"/>
    <cellStyle name="Normal 32 3" xfId="327"/>
    <cellStyle name="Normal 33" xfId="328"/>
    <cellStyle name="Normal 34" xfId="329"/>
    <cellStyle name="Normal 34 2" xfId="330"/>
    <cellStyle name="Normal 34 2 2" xfId="331"/>
    <cellStyle name="Normal 34 3" xfId="332"/>
    <cellStyle name="Normal 35" xfId="333"/>
    <cellStyle name="Normal 35 2" xfId="334"/>
    <cellStyle name="Normal 35 2 2" xfId="335"/>
    <cellStyle name="Normal 35 3" xfId="336"/>
    <cellStyle name="Normal 36" xfId="337"/>
    <cellStyle name="Normal 37" xfId="338"/>
    <cellStyle name="Normal 38" xfId="339"/>
    <cellStyle name="Normal 39" xfId="340"/>
    <cellStyle name="Normal 4" xfId="341"/>
    <cellStyle name="Normal 4 2" xfId="342"/>
    <cellStyle name="Normal 4 3" xfId="343"/>
    <cellStyle name="Normal 4 3 2" xfId="344"/>
    <cellStyle name="Normal 4 3 2 2" xfId="345"/>
    <cellStyle name="Normal 4 3 3" xfId="346"/>
    <cellStyle name="Normal 4 4" xfId="347"/>
    <cellStyle name="Normal 4 4 2" xfId="348"/>
    <cellStyle name="Normal 4 4 2 2" xfId="349"/>
    <cellStyle name="Normal 4 4 3" xfId="350"/>
    <cellStyle name="Normal 40" xfId="351"/>
    <cellStyle name="Normal 41" xfId="352"/>
    <cellStyle name="Normal 42" xfId="353"/>
    <cellStyle name="Normal 42 2" xfId="354"/>
    <cellStyle name="Normal 43" xfId="355"/>
    <cellStyle name="Normal 44" xfId="356"/>
    <cellStyle name="Normal 45" xfId="357"/>
    <cellStyle name="Normal 46" xfId="358"/>
    <cellStyle name="Normal 47" xfId="359"/>
    <cellStyle name="Normal 48" xfId="360"/>
    <cellStyle name="Normal 49" xfId="35"/>
    <cellStyle name="Normal 49 2" xfId="361"/>
    <cellStyle name="Normal 5" xfId="362"/>
    <cellStyle name="Normal 5 2" xfId="363"/>
    <cellStyle name="Normal 5 2 2" xfId="364"/>
    <cellStyle name="Normal 5 2 2 2" xfId="365"/>
    <cellStyle name="Normal 5 2 3" xfId="366"/>
    <cellStyle name="Normal 5 3" xfId="367"/>
    <cellStyle name="Normal 5 3 2" xfId="368"/>
    <cellStyle name="Normal 5 3 2 2" xfId="369"/>
    <cellStyle name="Normal 5 3 3" xfId="370"/>
    <cellStyle name="Normal 50" xfId="37"/>
    <cellStyle name="Normal 50 2" xfId="467"/>
    <cellStyle name="Normal 51" xfId="41"/>
    <cellStyle name="Normal 51 2" xfId="468"/>
    <cellStyle name="Normal 52" xfId="42"/>
    <cellStyle name="Normal 53" xfId="43"/>
    <cellStyle name="Normal 54" xfId="44"/>
    <cellStyle name="Normal 55" xfId="45"/>
    <cellStyle name="Normal 56" xfId="36"/>
    <cellStyle name="Normal 6" xfId="371"/>
    <cellStyle name="Normal 6 2" xfId="372"/>
    <cellStyle name="Normal 6 2 2" xfId="373"/>
    <cellStyle name="Normal 6 2 2 2" xfId="374"/>
    <cellStyle name="Normal 6 2 3" xfId="375"/>
    <cellStyle name="Normal 6 3" xfId="376"/>
    <cellStyle name="Normal 6 3 2" xfId="377"/>
    <cellStyle name="Normal 6 3 2 2" xfId="378"/>
    <cellStyle name="Normal 6 3 3" xfId="379"/>
    <cellStyle name="Normal 7" xfId="380"/>
    <cellStyle name="Normal 7 2" xfId="381"/>
    <cellStyle name="Normal 7 2 2" xfId="382"/>
    <cellStyle name="Normal 7 2 2 2" xfId="383"/>
    <cellStyle name="Normal 7 2 3" xfId="384"/>
    <cellStyle name="Normal 8" xfId="385"/>
    <cellStyle name="Normal 8 2" xfId="386"/>
    <cellStyle name="Normal 8 2 2" xfId="387"/>
    <cellStyle name="Normal 8 2 2 2" xfId="388"/>
    <cellStyle name="Normal 8 2 3" xfId="389"/>
    <cellStyle name="Normal 8 3" xfId="390"/>
    <cellStyle name="Normal 8 3 2" xfId="391"/>
    <cellStyle name="Normal 8 3 2 2" xfId="392"/>
    <cellStyle name="Normal 8 3 3" xfId="393"/>
    <cellStyle name="Normal 9" xfId="394"/>
    <cellStyle name="Normal 9 2" xfId="395"/>
    <cellStyle name="Normal 9 2 2" xfId="396"/>
    <cellStyle name="Normal 9 2 2 2" xfId="397"/>
    <cellStyle name="Normal 9 2 3" xfId="398"/>
    <cellStyle name="Normal 9 3" xfId="399"/>
    <cellStyle name="Normal 9 3 2" xfId="400"/>
    <cellStyle name="Normal 9 3 2 2" xfId="401"/>
    <cellStyle name="Normal 9 3 3" xfId="402"/>
    <cellStyle name="Note 2" xfId="403"/>
    <cellStyle name="Note 3" xfId="404"/>
    <cellStyle name="Note 4" xfId="405"/>
    <cellStyle name="Output" xfId="9" builtinId="21" customBuiltin="1"/>
    <cellStyle name="Output 2" xfId="406"/>
    <cellStyle name="Output 3" xfId="407"/>
    <cellStyle name="Percent [0]" xfId="408"/>
    <cellStyle name="Percent [0] 2" xfId="409"/>
    <cellStyle name="Percent [0] 3" xfId="410"/>
    <cellStyle name="Percent [00]" xfId="411"/>
    <cellStyle name="Percent [00] 2" xfId="412"/>
    <cellStyle name="Percent [00] 3" xfId="413"/>
    <cellStyle name="Percent [2]" xfId="414"/>
    <cellStyle name="Percent [2] 2" xfId="415"/>
    <cellStyle name="Percent 10" xfId="416"/>
    <cellStyle name="Percent 11" xfId="417"/>
    <cellStyle name="Percent 12" xfId="418"/>
    <cellStyle name="Percent 13" xfId="419"/>
    <cellStyle name="Percent 2" xfId="420"/>
    <cellStyle name="Percent 3" xfId="421"/>
    <cellStyle name="Percent 4" xfId="422"/>
    <cellStyle name="Percent 4 2" xfId="423"/>
    <cellStyle name="Percent 5" xfId="424"/>
    <cellStyle name="Percent 6" xfId="425"/>
    <cellStyle name="Percent 7" xfId="426"/>
    <cellStyle name="Percent 7 2" xfId="427"/>
    <cellStyle name="Percent 7 2 2" xfId="428"/>
    <cellStyle name="Percent 8" xfId="429"/>
    <cellStyle name="Percent 9" xfId="430"/>
    <cellStyle name="PrePop Currency (0)" xfId="431"/>
    <cellStyle name="PrePop Currency (0) 2" xfId="432"/>
    <cellStyle name="PrePop Currency (0) 3" xfId="433"/>
    <cellStyle name="PrePop Currency (2)" xfId="434"/>
    <cellStyle name="PrePop Currency (2) 2" xfId="435"/>
    <cellStyle name="PrePop Currency (2) 3" xfId="436"/>
    <cellStyle name="PrePop Units (0)" xfId="437"/>
    <cellStyle name="PrePop Units (0) 2" xfId="438"/>
    <cellStyle name="PrePop Units (0) 3" xfId="439"/>
    <cellStyle name="PrePop Units (1)" xfId="440"/>
    <cellStyle name="PrePop Units (1) 2" xfId="441"/>
    <cellStyle name="PrePop Units (1) 3" xfId="442"/>
    <cellStyle name="PrePop Units (2)" xfId="443"/>
    <cellStyle name="PrePop Units (2) 2" xfId="444"/>
    <cellStyle name="PrePop Units (2) 3" xfId="445"/>
    <cellStyle name="Standard_Anpassen der Amortisation" xfId="446"/>
    <cellStyle name="Table Text" xfId="447"/>
    <cellStyle name="Table Text 2" xfId="448"/>
    <cellStyle name="Text Indent A" xfId="449"/>
    <cellStyle name="Text Indent B" xfId="450"/>
    <cellStyle name="Text Indent B 2" xfId="451"/>
    <cellStyle name="Text Indent B 3" xfId="452"/>
    <cellStyle name="Text Indent C" xfId="453"/>
    <cellStyle name="Text Indent C 2" xfId="454"/>
    <cellStyle name="Text Indent C 3" xfId="455"/>
    <cellStyle name="Title 2" xfId="456"/>
    <cellStyle name="Title 3" xfId="457"/>
    <cellStyle name="Title 4" xfId="458"/>
    <cellStyle name="Total" xfId="15" builtinId="25" customBuiltin="1"/>
    <cellStyle name="Total 2" xfId="459"/>
    <cellStyle name="Total 2 2" xfId="460"/>
    <cellStyle name="Total 3" xfId="461"/>
    <cellStyle name="Total 4" xfId="462"/>
    <cellStyle name="Währung [0]_Compiling Utility Macros" xfId="463"/>
    <cellStyle name="Währung_Compiling Utility Macros" xfId="464"/>
    <cellStyle name="Warning Text" xfId="13" builtinId="11" customBuiltin="1"/>
    <cellStyle name="Warning Text 2" xfId="465"/>
    <cellStyle name="Warning Text 3" xfId="466"/>
  </cellStyles>
  <dxfs count="7">
    <dxf>
      <fill>
        <patternFill patternType="solid">
          <fgColor rgb="FFB8CCE4"/>
          <bgColor rgb="FFB8CCE4"/>
        </patternFill>
      </fill>
    </dxf>
    <dxf>
      <fill>
        <patternFill patternType="solid">
          <fgColor rgb="FFB8CCE4"/>
          <bgColor rgb="FFB8CCE4"/>
        </patternFill>
      </fill>
    </dxf>
    <dxf>
      <font>
        <b/>
        <color rgb="FFFFFFFF"/>
      </font>
      <fill>
        <patternFill patternType="solid">
          <fgColor rgb="FF4F81BD"/>
          <bgColor rgb="FF4F81BD"/>
        </patternFill>
      </fill>
    </dxf>
    <dxf>
      <font>
        <b/>
        <color rgb="FFFFFFFF"/>
      </font>
      <fill>
        <patternFill patternType="solid">
          <fgColor rgb="FF4F81BD"/>
          <bgColor rgb="FF4F81BD"/>
        </patternFill>
      </fill>
    </dxf>
    <dxf>
      <font>
        <b/>
        <color rgb="FFFFFFFF"/>
      </font>
      <fill>
        <patternFill patternType="solid">
          <fgColor rgb="FF4F81BD"/>
          <bgColor rgb="FF4F81BD"/>
        </patternFill>
      </fill>
      <border>
        <top style="thick">
          <color rgb="FFFFFFFF"/>
        </top>
      </border>
    </dxf>
    <dxf>
      <font>
        <b/>
        <color rgb="FFFFFFFF"/>
      </font>
      <fill>
        <patternFill patternType="solid">
          <fgColor rgb="FF4F81BD"/>
          <bgColor rgb="FF4F81BD"/>
        </patternFill>
      </fill>
      <border>
        <bottom style="thick">
          <color rgb="FFFFFFFF"/>
        </bottom>
      </border>
    </dxf>
    <dxf>
      <font>
        <color rgb="FF000000"/>
      </font>
      <fill>
        <patternFill patternType="solid">
          <fgColor rgb="FFDCE6F1"/>
          <bgColor rgb="FFDCE6F1"/>
        </patternFill>
      </fill>
      <border>
        <vertical style="thin">
          <color rgb="FFFFFFFF"/>
        </vertical>
        <horizontal style="thin">
          <color rgb="FFFFFFFF"/>
        </horizontal>
      </border>
    </dxf>
  </dxfs>
  <tableStyles count="2" defaultTableStyle="TableStyleMedium2" defaultPivotStyle="PivotStyleLight16">
    <tableStyle name="MySqlDefault" pivot="0" table="0" count="0"/>
    <tableStyle name="TableStyleMedium9 2" pivot="0" count="7">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15.xml"/><Relationship Id="rId21" Type="http://schemas.openxmlformats.org/officeDocument/2006/relationships/externalLink" Target="externalLinks/externalLink10.xml"/><Relationship Id="rId42" Type="http://schemas.openxmlformats.org/officeDocument/2006/relationships/externalLink" Target="externalLinks/externalLink31.xml"/><Relationship Id="rId47" Type="http://schemas.openxmlformats.org/officeDocument/2006/relationships/externalLink" Target="externalLinks/externalLink36.xml"/><Relationship Id="rId63" Type="http://schemas.openxmlformats.org/officeDocument/2006/relationships/externalLink" Target="externalLinks/externalLink52.xml"/><Relationship Id="rId68" Type="http://schemas.openxmlformats.org/officeDocument/2006/relationships/externalLink" Target="externalLinks/externalLink57.xml"/><Relationship Id="rId16" Type="http://schemas.openxmlformats.org/officeDocument/2006/relationships/externalLink" Target="externalLinks/externalLink5.xml"/><Relationship Id="rId11" Type="http://schemas.openxmlformats.org/officeDocument/2006/relationships/worksheet" Target="worksheets/sheet11.xml"/><Relationship Id="rId24" Type="http://schemas.openxmlformats.org/officeDocument/2006/relationships/externalLink" Target="externalLinks/externalLink13.xml"/><Relationship Id="rId32" Type="http://schemas.openxmlformats.org/officeDocument/2006/relationships/externalLink" Target="externalLinks/externalLink21.xml"/><Relationship Id="rId37" Type="http://schemas.openxmlformats.org/officeDocument/2006/relationships/externalLink" Target="externalLinks/externalLink26.xml"/><Relationship Id="rId40" Type="http://schemas.openxmlformats.org/officeDocument/2006/relationships/externalLink" Target="externalLinks/externalLink29.xml"/><Relationship Id="rId45" Type="http://schemas.openxmlformats.org/officeDocument/2006/relationships/externalLink" Target="externalLinks/externalLink34.xml"/><Relationship Id="rId53" Type="http://schemas.openxmlformats.org/officeDocument/2006/relationships/externalLink" Target="externalLinks/externalLink42.xml"/><Relationship Id="rId58" Type="http://schemas.openxmlformats.org/officeDocument/2006/relationships/externalLink" Target="externalLinks/externalLink47.xml"/><Relationship Id="rId66" Type="http://schemas.openxmlformats.org/officeDocument/2006/relationships/externalLink" Target="externalLinks/externalLink55.xml"/><Relationship Id="rId74" Type="http://schemas.openxmlformats.org/officeDocument/2006/relationships/externalLink" Target="externalLinks/externalLink63.xml"/><Relationship Id="rId79"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externalLink" Target="externalLinks/externalLink50.xml"/><Relationship Id="rId19" Type="http://schemas.openxmlformats.org/officeDocument/2006/relationships/externalLink" Target="externalLinks/externalLink8.xml"/><Relationship Id="rId14" Type="http://schemas.openxmlformats.org/officeDocument/2006/relationships/externalLink" Target="externalLinks/externalLink3.xml"/><Relationship Id="rId22" Type="http://schemas.openxmlformats.org/officeDocument/2006/relationships/externalLink" Target="externalLinks/externalLink11.xml"/><Relationship Id="rId27" Type="http://schemas.openxmlformats.org/officeDocument/2006/relationships/externalLink" Target="externalLinks/externalLink16.xml"/><Relationship Id="rId30" Type="http://schemas.openxmlformats.org/officeDocument/2006/relationships/externalLink" Target="externalLinks/externalLink19.xml"/><Relationship Id="rId35" Type="http://schemas.openxmlformats.org/officeDocument/2006/relationships/externalLink" Target="externalLinks/externalLink24.xml"/><Relationship Id="rId43" Type="http://schemas.openxmlformats.org/officeDocument/2006/relationships/externalLink" Target="externalLinks/externalLink32.xml"/><Relationship Id="rId48" Type="http://schemas.openxmlformats.org/officeDocument/2006/relationships/externalLink" Target="externalLinks/externalLink37.xml"/><Relationship Id="rId56" Type="http://schemas.openxmlformats.org/officeDocument/2006/relationships/externalLink" Target="externalLinks/externalLink45.xml"/><Relationship Id="rId64" Type="http://schemas.openxmlformats.org/officeDocument/2006/relationships/externalLink" Target="externalLinks/externalLink53.xml"/><Relationship Id="rId69" Type="http://schemas.openxmlformats.org/officeDocument/2006/relationships/externalLink" Target="externalLinks/externalLink58.xml"/><Relationship Id="rId77"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externalLink" Target="externalLinks/externalLink40.xml"/><Relationship Id="rId72" Type="http://schemas.openxmlformats.org/officeDocument/2006/relationships/externalLink" Target="externalLinks/externalLink61.xml"/><Relationship Id="rId3" Type="http://schemas.openxmlformats.org/officeDocument/2006/relationships/worksheet" Target="worksheets/sheet3.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5" Type="http://schemas.openxmlformats.org/officeDocument/2006/relationships/externalLink" Target="externalLinks/externalLink14.xml"/><Relationship Id="rId33" Type="http://schemas.openxmlformats.org/officeDocument/2006/relationships/externalLink" Target="externalLinks/externalLink22.xml"/><Relationship Id="rId38" Type="http://schemas.openxmlformats.org/officeDocument/2006/relationships/externalLink" Target="externalLinks/externalLink27.xml"/><Relationship Id="rId46" Type="http://schemas.openxmlformats.org/officeDocument/2006/relationships/externalLink" Target="externalLinks/externalLink35.xml"/><Relationship Id="rId59" Type="http://schemas.openxmlformats.org/officeDocument/2006/relationships/externalLink" Target="externalLinks/externalLink48.xml"/><Relationship Id="rId67" Type="http://schemas.openxmlformats.org/officeDocument/2006/relationships/externalLink" Target="externalLinks/externalLink56.xml"/><Relationship Id="rId20" Type="http://schemas.openxmlformats.org/officeDocument/2006/relationships/externalLink" Target="externalLinks/externalLink9.xml"/><Relationship Id="rId41" Type="http://schemas.openxmlformats.org/officeDocument/2006/relationships/externalLink" Target="externalLinks/externalLink30.xml"/><Relationship Id="rId54" Type="http://schemas.openxmlformats.org/officeDocument/2006/relationships/externalLink" Target="externalLinks/externalLink43.xml"/><Relationship Id="rId62" Type="http://schemas.openxmlformats.org/officeDocument/2006/relationships/externalLink" Target="externalLinks/externalLink51.xml"/><Relationship Id="rId70" Type="http://schemas.openxmlformats.org/officeDocument/2006/relationships/externalLink" Target="externalLinks/externalLink59.xml"/><Relationship Id="rId75" Type="http://schemas.openxmlformats.org/officeDocument/2006/relationships/externalLink" Target="externalLinks/externalLink6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externalLink" Target="externalLinks/externalLink4.xml"/><Relationship Id="rId23" Type="http://schemas.openxmlformats.org/officeDocument/2006/relationships/externalLink" Target="externalLinks/externalLink12.xml"/><Relationship Id="rId28" Type="http://schemas.openxmlformats.org/officeDocument/2006/relationships/externalLink" Target="externalLinks/externalLink17.xml"/><Relationship Id="rId36" Type="http://schemas.openxmlformats.org/officeDocument/2006/relationships/externalLink" Target="externalLinks/externalLink25.xml"/><Relationship Id="rId49" Type="http://schemas.openxmlformats.org/officeDocument/2006/relationships/externalLink" Target="externalLinks/externalLink38.xml"/><Relationship Id="rId57" Type="http://schemas.openxmlformats.org/officeDocument/2006/relationships/externalLink" Target="externalLinks/externalLink46.xml"/><Relationship Id="rId10" Type="http://schemas.openxmlformats.org/officeDocument/2006/relationships/worksheet" Target="worksheets/sheet10.xml"/><Relationship Id="rId31" Type="http://schemas.openxmlformats.org/officeDocument/2006/relationships/externalLink" Target="externalLinks/externalLink20.xml"/><Relationship Id="rId44" Type="http://schemas.openxmlformats.org/officeDocument/2006/relationships/externalLink" Target="externalLinks/externalLink33.xml"/><Relationship Id="rId52" Type="http://schemas.openxmlformats.org/officeDocument/2006/relationships/externalLink" Target="externalLinks/externalLink41.xml"/><Relationship Id="rId60" Type="http://schemas.openxmlformats.org/officeDocument/2006/relationships/externalLink" Target="externalLinks/externalLink49.xml"/><Relationship Id="rId65" Type="http://schemas.openxmlformats.org/officeDocument/2006/relationships/externalLink" Target="externalLinks/externalLink54.xml"/><Relationship Id="rId73" Type="http://schemas.openxmlformats.org/officeDocument/2006/relationships/externalLink" Target="externalLinks/externalLink62.xml"/><Relationship Id="rId78"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39" Type="http://schemas.openxmlformats.org/officeDocument/2006/relationships/externalLink" Target="externalLinks/externalLink28.xml"/><Relationship Id="rId34" Type="http://schemas.openxmlformats.org/officeDocument/2006/relationships/externalLink" Target="externalLinks/externalLink23.xml"/><Relationship Id="rId50" Type="http://schemas.openxmlformats.org/officeDocument/2006/relationships/externalLink" Target="externalLinks/externalLink39.xml"/><Relationship Id="rId55" Type="http://schemas.openxmlformats.org/officeDocument/2006/relationships/externalLink" Target="externalLinks/externalLink44.xml"/><Relationship Id="rId76"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externalLink" Target="externalLinks/externalLink60.xml"/><Relationship Id="rId2" Type="http://schemas.openxmlformats.org/officeDocument/2006/relationships/worksheet" Target="worksheets/sheet2.xml"/><Relationship Id="rId29" Type="http://schemas.openxmlformats.org/officeDocument/2006/relationships/externalLink" Target="externalLinks/externalLink1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Inter%20Branch%20Information\Section%2032%20Report\2020-2021\07.%20OCTOBER\Table%201\Table%201%20October%202020%20.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I:\Inter%20Branch%20Information\Section%2032%20Report\2020-2021\09.%20DECEMBER\Table%201\Table%201%20December%202020.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I:\Inter%20Branch%20Information\Section%2032%20Report\2020-2021\10.%20JANUARY\Table%201\Table%201%20January%202021.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I:\Inter%20Branch%20Information\Section%2032%20Report\2020-2021\09.%20DECEMBER\Table%202\Table%202%20CY.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I:\Inter%20Branch%20Information\Section%2032%20Report\2020-2021\01.%20APR\Table%202\Table%202%20CY.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I:\Inter%20Branch%20Information\Section%2032%20Report\2020-2021\02.%20MAY\Table%202\Table%202%20CY.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I:\Inter%20Branch%20Information\Section%2032%20Report\2020-2021\03.%20JUNE\Table%202\Table%202%20CY.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I:\Inter%20Branch%20Information\Section%2032%20Report\2020-2021\04.%20JULY\Table%202\Table%202%20CY.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I:\Inter%20Branch%20Information\Section%2032%20Report\2020-2021\05.%20AUGUST\Table%202\Table%202%20CY.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I:\Inter%20Branch%20Information\Section%2032%20Report\2020-2021\06.%20SEPTEMBER\Table%202\Table%202%20CY.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I:\Inter%20Branch%20Information\Section%2032%20Report\2020-2021\07.%20OCTOBER\Table%202\Table%202%20CY.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Inter%20Branch%20Information\Section%2032%20Report\2020-2021\01.%20APR\Table%201\Table%201%20April%202020.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I:\Inter%20Branch%20Information\Section%2032%20Report\2020-2021\08.%20NOVEMBER\Table%202\Table%202%20CY.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I:\Inter%20Branch%20Information\Section%2032%20Report\2020-2021\10.%20JANUARY\Table%202\Table%202%20CY.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I:\Inter%20Branch%20Information\Section%2032%20Report\2020-2021\08.%20NOVEMBER\Table%202\Table%202%20PY.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I:\Inter%20Branch%20Information\Section%2032%20Report\2019-2020\06.SEP\Table%202\Table%202%20CY.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I:\Inter%20Branch%20Information\Section%2032%20Report\2020-2021\07.%20OCTOBER\Table%202\Table%202%20CY.xlsm"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I:\Inter%20Branch%20Information\Section%2032%20Report\2020-2021\07.%20OCTOBER\Table%203\statement%203%20.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I:\Inter%20Branch%20Information\Section%2032%20Report\2020-2021\01.%20APR\Table%203\statement%203.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I:\Inter%20Branch%20Information\Section%2032%20Report\2020-2021\02.%20MAY\Table%203\statement%203.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I:\Inter%20Branch%20Information\Section%2032%20Report\2020-2021\03.%20JUNE\Table%203\statement%203.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I:\Inter%20Branch%20Information\Section%2032%20Report\2020-2021\04.%20JULY\Table%203\statement%20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I:\Inter%20Branch%20Information\Section%2032%20Report\2020-2021\02.%20MAY\Table%201\Table%201%20May%202020.xlsx"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I:\Inter%20Branch%20Information\Section%2032%20Report\2020-2021\05.%20AUGUST\Table%203\statement%203.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I:\Inter%20Branch%20Information\Section%2032%20Report\2020-2021\06.%20SEPTEMBER\Table%203\statement%203.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I:\Inter%20Branch%20Information\Section%2032%20Report\2020-2021\08.%20NOVEMBER\Table%203\statement%203.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I:\Inter%20Branch%20Information\Section%2032%20Report\2020-2021\09.%20DECEMBER\Table%203\statement%203.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I:\Inter%20Branch%20Information\Section%2032%20Report\2020-2021\10.%20JANUARY\Table%203\statement%203.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I:\Inter%20Branch%20Information\Section%2032%20Report\2020-2021\01.%20APR\Table%205\Additional%20Information.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I:\Inter%20Branch%20Information\Section%2032%20Report\2020-2021\02.%20MAY\Table%205\Additional%20Information.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I:\Inter%20Branch%20Information\Section%2032%20Report\2020-2021\03.%20JUNE\Table%205\Additional%20Information.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I:\Inter%20Branch%20Information\Section%2032%20Report\2020-2021\04.%20JULY\Table%205\Additional%20Information.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I:\Inter%20Branch%20Information\Section%2032%20Report\2020-2021\05.%20AUGUST\Table%205\Additional%20Information.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I:\Inter%20Branch%20Information\Section%2032%20Report\2020-2021\03.%20JUNE\Table%201\Table%201%20June%202020.xlsx"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I:\Inter%20Branch%20Information\Section%2032%20Report\2020-2021\06.%20SEPTEMBER\Table%205\Additional%20Information.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I:\Inter%20Branch%20Information\Section%2032%20Report\2020-2021\07.%20OCTOBER\Table%205\Additional%20Information.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I:\Inter%20Branch%20Information\Section%2032%20Report\2020-2021\08.%20NOVEMBER\Table%205\Additional%20Information.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I:\Inter%20Branch%20Information\Section%2032%20Report\2020-2021\09.%20DECEMBER\Table%205\Additional%20Information.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I:\Inter%20Branch%20Information\Section%2032%20Report\2020-2021\10.%20JANUARY\Table%205\Additional%20Information.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BR_Accountant-General/3.%20CD_National%20Accounts/D.%20Directorates/D5.%20D_NRF%20and%20ASB/xiii.%20Exchequer%20Management/2017-2018/Financial%20Statements/FINAL/FINAL%20AFS%202017-18%2004%20October%202018%20.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Inter%20Branch%20Information/Section%2032%20Report/2019-2020/01.%20APR/Table%205/Additional%20Information.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Inter%20Branch%20Information/Section%2032%20Report/2019-2020/02.%20MAY/Table%205/Additional%20Information.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Inter%20Branch%20Information/Section%2032%20Report/2019-2020/03.%20JUN/Table%205/Additional%20Information.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Inter%20Branch%20Information/Section%2032%20Report/2020-2021/04.%20JULY/Table%205/Additional%20Information.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I:\Inter%20Branch%20Information\Section%2032%20Report\2020-2021\04.%20JULY\Table%201\Table%201%20July%202020.xlsx"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Inter%20Branch%20Information/Section%2032%20Report/2019-2020/05.AUG/Table%205/Additional%20Information.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Inter%20Branch%20Information/Section%2032%20Report/2019-2020/08.%20NOV/Table%205/Additional%20Information.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Inter%20Branch%20Information/Section%2032%20Report/2020-2021/09.%20DECEMBER/Table%205/Additional%20Information.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Inter%20Branch%20Information/Section%2032%20Report/2019-2020/10.%20JAN/Table%205/Additional%20Information.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Users/3309/AppData/Local/Microsoft/Windows/INetCache/Content.Outlook/RRMAVOF1/statement%203%20(00000002).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Inter%20Branch%20Information/Section%2032%20Report/2020-2021/01.%20APR/Table%204/Recon%20statement%20.xlsm"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Inter%20Branch%20Information/Section%2032%20Report/2020-2021/02.%20MAY/Table%204/Recon%20statement.xlsm"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Inter%20Branch%20Information/Section%2032%20Report/2020-2021/03.%20JUNE/Table%204/Recon%20statement.xlsm"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Inter%20Branch%20Information/Section%2032%20Report/2020-2021/04.%20JULY/Table%204/Recon%20statement.xlsm"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Inter%20Branch%20Information/Section%2032%20Report/2020-2021/05.%20AUGUST/Table%204/Recon%20statement.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I:\Inter%20Branch%20Information\Section%2032%20Report\2020-2021\05.%20AUGUST\Table%201\Table%201%20August%202020.xlsx"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Inter%20Branch%20Information/Section%2032%20Report/2020-2021/06.%20SEPTEMBER/Table%204/Recon%20statement.xlsm"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Inter%20Branch%20Information/Section%2032%20Report/2020-2021/07.%20OCTOBER/Table%204/Recon%20statement.xlsm"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Inter%20Branch%20Information/Section%2032%20Report/2020-2021/08.%20NOVEMBER/Table%204/Recon%20statement.xlsm"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Inter%20Branch%20Information/Section%2032%20Report/2020-2021/09.%20DECEMBER/Table%204/Recon%20statement.xlsm"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Inter%20Branch%20Information/Section%2032%20Report/2020-2021/10.%20JANUARY/Table%204/Recon%20statement%2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I:\Inter%20Branch%20Information\Section%2032%20Report\2020-2021\06.%20SEPTEMBER\Table%201\Table%201%20September%20202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I:\Inter%20Branch%20Information\Section%2032%20Report\2020-2021\07.%20OCTOBER\Table%201\Table%201%20October%202020.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I:\Inter%20Branch%20Information\Section%2032%20Report\2020-2021\08.%20NOVEMBER\Table%201\Table%201%20November%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ement 1"/>
    </sheetNames>
    <sheetDataSet>
      <sheetData sheetId="0" refreshError="1">
        <row r="114">
          <cell r="H114">
            <v>1097931728.3315389</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ement 1"/>
    </sheetNames>
    <sheetDataSet>
      <sheetData sheetId="0" refreshError="1">
        <row r="114">
          <cell r="Q114">
            <v>176370693.76949999</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ement 1"/>
    </sheetNames>
    <sheetDataSet>
      <sheetData sheetId="0" refreshError="1">
        <row r="114">
          <cell r="R114">
            <v>87476541.460689977</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
      <sheetName val="Sheet1"/>
    </sheetNames>
    <sheetDataSet>
      <sheetData sheetId="0" refreshError="1">
        <row r="48">
          <cell r="I48">
            <v>1025349737</v>
          </cell>
          <cell r="BB48">
            <v>103042121</v>
          </cell>
        </row>
        <row r="51">
          <cell r="I51">
            <v>7715</v>
          </cell>
          <cell r="BB51">
            <v>475</v>
          </cell>
        </row>
        <row r="52">
          <cell r="I52">
            <v>476474</v>
          </cell>
          <cell r="BB52">
            <v>42263</v>
          </cell>
        </row>
        <row r="53">
          <cell r="I53">
            <v>233027798</v>
          </cell>
          <cell r="BB53">
            <v>23505078</v>
          </cell>
        </row>
        <row r="56">
          <cell r="I56">
            <v>520717021</v>
          </cell>
          <cell r="BB56">
            <v>44872625</v>
          </cell>
        </row>
        <row r="57">
          <cell r="I57">
            <v>14026878</v>
          </cell>
          <cell r="BB57">
            <v>4675628</v>
          </cell>
        </row>
        <row r="58">
          <cell r="I58">
            <v>177615</v>
          </cell>
          <cell r="BB58">
            <v>2</v>
          </cell>
        </row>
        <row r="59">
          <cell r="I59">
            <v>120001</v>
          </cell>
        </row>
        <row r="62">
          <cell r="H62">
            <v>143395</v>
          </cell>
        </row>
        <row r="63">
          <cell r="H63">
            <v>74366</v>
          </cell>
        </row>
        <row r="65">
          <cell r="BA65">
            <v>-6571667</v>
          </cell>
        </row>
        <row r="66">
          <cell r="I66">
            <v>10174611</v>
          </cell>
          <cell r="BB66">
            <v>1486244</v>
          </cell>
        </row>
        <row r="67">
          <cell r="I67">
            <v>2442459</v>
          </cell>
          <cell r="BB67">
            <v>178719</v>
          </cell>
        </row>
        <row r="68">
          <cell r="I68">
            <v>1117931</v>
          </cell>
          <cell r="BB68">
            <v>87887</v>
          </cell>
        </row>
        <row r="69">
          <cell r="I69">
            <v>10997</v>
          </cell>
        </row>
      </sheetData>
      <sheetData sheetId="1"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
      <sheetName val="Sheet1"/>
    </sheetNames>
    <sheetDataSet>
      <sheetData sheetId="0" refreshError="1">
        <row r="48">
          <cell r="N48">
            <v>63165298</v>
          </cell>
        </row>
        <row r="51">
          <cell r="N51">
            <v>475</v>
          </cell>
        </row>
        <row r="52">
          <cell r="N52">
            <v>42263</v>
          </cell>
        </row>
        <row r="53">
          <cell r="N53">
            <v>4156462.4270000001</v>
          </cell>
        </row>
        <row r="56">
          <cell r="N56">
            <v>44872627</v>
          </cell>
        </row>
        <row r="57">
          <cell r="N57">
            <v>0</v>
          </cell>
        </row>
        <row r="58">
          <cell r="N58">
            <v>18</v>
          </cell>
        </row>
        <row r="59">
          <cell r="N59">
            <v>0</v>
          </cell>
        </row>
        <row r="60">
          <cell r="N60">
            <v>1745798</v>
          </cell>
        </row>
        <row r="61">
          <cell r="N61">
            <v>186187</v>
          </cell>
        </row>
        <row r="62">
          <cell r="N62">
            <v>83069</v>
          </cell>
        </row>
        <row r="63">
          <cell r="N63">
            <v>0</v>
          </cell>
        </row>
      </sheetData>
      <sheetData sheetId="1"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
      <sheetName val="Sheet1"/>
    </sheetNames>
    <sheetDataSet>
      <sheetData sheetId="0" refreshError="1">
        <row r="48">
          <cell r="S48">
            <v>71995377</v>
          </cell>
        </row>
        <row r="51">
          <cell r="S51">
            <v>475</v>
          </cell>
        </row>
        <row r="52">
          <cell r="S52">
            <v>42263</v>
          </cell>
        </row>
        <row r="53">
          <cell r="S53">
            <v>1746959.1300000001</v>
          </cell>
        </row>
        <row r="56">
          <cell r="S56">
            <v>44872627</v>
          </cell>
        </row>
        <row r="57">
          <cell r="S57">
            <v>0</v>
          </cell>
        </row>
        <row r="58">
          <cell r="S58">
            <v>111334</v>
          </cell>
        </row>
        <row r="59">
          <cell r="S59">
            <v>0</v>
          </cell>
        </row>
        <row r="60">
          <cell r="S60">
            <v>1447692</v>
          </cell>
        </row>
        <row r="61">
          <cell r="S61">
            <v>179319</v>
          </cell>
        </row>
        <row r="62">
          <cell r="S62">
            <v>79480</v>
          </cell>
        </row>
        <row r="63">
          <cell r="S63">
            <v>0</v>
          </cell>
        </row>
      </sheetData>
      <sheetData sheetId="1"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
      <sheetName val="Sheet1"/>
    </sheetNames>
    <sheetDataSet>
      <sheetData sheetId="0" refreshError="1">
        <row r="48">
          <cell r="X48">
            <v>61212482</v>
          </cell>
        </row>
        <row r="51">
          <cell r="X51">
            <v>475</v>
          </cell>
        </row>
        <row r="52">
          <cell r="X52">
            <v>42263</v>
          </cell>
        </row>
        <row r="53">
          <cell r="X53">
            <v>23287136</v>
          </cell>
        </row>
        <row r="56">
          <cell r="X56">
            <v>44872627</v>
          </cell>
        </row>
        <row r="57">
          <cell r="X57">
            <v>0</v>
          </cell>
        </row>
        <row r="58">
          <cell r="X58">
            <v>2</v>
          </cell>
        </row>
        <row r="59">
          <cell r="X59">
            <v>40000</v>
          </cell>
        </row>
        <row r="60">
          <cell r="X60">
            <v>1118322</v>
          </cell>
        </row>
        <row r="61">
          <cell r="X61">
            <v>174148</v>
          </cell>
        </row>
        <row r="62">
          <cell r="X62">
            <v>102829</v>
          </cell>
        </row>
        <row r="63">
          <cell r="X63">
            <v>0</v>
          </cell>
        </row>
      </sheetData>
      <sheetData sheetId="1"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
      <sheetName val="Sheet1"/>
    </sheetNames>
    <sheetDataSet>
      <sheetData sheetId="0" refreshError="1">
        <row r="48">
          <cell r="AC48">
            <v>118355901</v>
          </cell>
        </row>
        <row r="51">
          <cell r="AC51">
            <v>475</v>
          </cell>
        </row>
        <row r="52">
          <cell r="AC52">
            <v>42263</v>
          </cell>
        </row>
        <row r="53">
          <cell r="AC53">
            <v>33793248</v>
          </cell>
        </row>
        <row r="56">
          <cell r="AC56">
            <v>44872627</v>
          </cell>
        </row>
        <row r="57">
          <cell r="AC57">
            <v>0</v>
          </cell>
        </row>
        <row r="58">
          <cell r="AC58">
            <v>0</v>
          </cell>
        </row>
        <row r="59">
          <cell r="AC59">
            <v>0</v>
          </cell>
        </row>
        <row r="60">
          <cell r="AC60">
            <v>54518</v>
          </cell>
        </row>
        <row r="61">
          <cell r="AC61">
            <v>175874</v>
          </cell>
        </row>
        <row r="62">
          <cell r="AC62">
            <v>81055</v>
          </cell>
        </row>
        <row r="63">
          <cell r="AC63">
            <v>0</v>
          </cell>
        </row>
      </sheetData>
      <sheetData sheetId="1"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
      <sheetName val="Sheet1"/>
    </sheetNames>
    <sheetDataSet>
      <sheetData sheetId="0" refreshError="1">
        <row r="48">
          <cell r="AH48">
            <v>82985001</v>
          </cell>
        </row>
        <row r="51">
          <cell r="AH51">
            <v>475</v>
          </cell>
        </row>
        <row r="52">
          <cell r="AH52">
            <v>42263</v>
          </cell>
        </row>
        <row r="53">
          <cell r="AH53">
            <v>32588390.123</v>
          </cell>
        </row>
        <row r="56">
          <cell r="AH56">
            <v>44872627</v>
          </cell>
        </row>
        <row r="57">
          <cell r="AH57">
            <v>4675628</v>
          </cell>
        </row>
        <row r="58">
          <cell r="AH58">
            <v>1</v>
          </cell>
        </row>
        <row r="59">
          <cell r="AH59">
            <v>0</v>
          </cell>
        </row>
        <row r="60">
          <cell r="AH60">
            <v>92107</v>
          </cell>
        </row>
        <row r="61">
          <cell r="AH61">
            <v>176338</v>
          </cell>
        </row>
        <row r="62">
          <cell r="AH62">
            <v>96112</v>
          </cell>
        </row>
        <row r="63">
          <cell r="AH63">
            <v>0</v>
          </cell>
        </row>
      </sheetData>
      <sheetData sheetId="1"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
      <sheetName val="Sheet1"/>
    </sheetNames>
    <sheetDataSet>
      <sheetData sheetId="0" refreshError="1">
        <row r="48">
          <cell r="AM48">
            <v>75682961</v>
          </cell>
        </row>
        <row r="51">
          <cell r="AM51">
            <v>475</v>
          </cell>
        </row>
        <row r="52">
          <cell r="AM52">
            <v>42263</v>
          </cell>
        </row>
        <row r="53">
          <cell r="AM53">
            <v>20719704.243000001</v>
          </cell>
        </row>
        <row r="56">
          <cell r="AM56">
            <v>44872627</v>
          </cell>
        </row>
        <row r="57">
          <cell r="AM57">
            <v>0</v>
          </cell>
        </row>
        <row r="58">
          <cell r="AM58">
            <v>66260</v>
          </cell>
        </row>
        <row r="59">
          <cell r="AM59">
            <v>30000</v>
          </cell>
        </row>
        <row r="60">
          <cell r="A60" t="str">
            <v>Other payments</v>
          </cell>
        </row>
        <row r="62">
          <cell r="B62" t="str">
            <v xml:space="preserve">South African Express Airways </v>
          </cell>
          <cell r="AL62">
            <v>143395</v>
          </cell>
        </row>
        <row r="63">
          <cell r="B63" t="str">
            <v>Land and Agricultural Development Bank of SA</v>
          </cell>
          <cell r="AL63">
            <v>74366</v>
          </cell>
        </row>
        <row r="65">
          <cell r="AL65">
            <v>6571667</v>
          </cell>
        </row>
        <row r="66">
          <cell r="AM66">
            <v>75474</v>
          </cell>
        </row>
        <row r="67">
          <cell r="AM67">
            <v>181726</v>
          </cell>
        </row>
        <row r="68">
          <cell r="AM68">
            <v>85139</v>
          </cell>
        </row>
      </sheetData>
      <sheetData sheetId="1"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
      <sheetName val="Sheet1"/>
    </sheetNames>
    <sheetDataSet>
      <sheetData sheetId="0" refreshError="1">
        <row r="48">
          <cell r="AR48">
            <v>84022361</v>
          </cell>
        </row>
        <row r="53">
          <cell r="AR53">
            <v>3593963.963</v>
          </cell>
        </row>
        <row r="56">
          <cell r="AR56">
            <v>44872627</v>
          </cell>
        </row>
        <row r="57">
          <cell r="AR57">
            <v>0</v>
          </cell>
        </row>
        <row r="66">
          <cell r="AR66">
            <v>169312</v>
          </cell>
        </row>
        <row r="73">
          <cell r="I73">
            <v>-2108558</v>
          </cell>
        </row>
      </sheetData>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ement 1"/>
    </sheetNames>
    <sheetDataSet>
      <sheetData sheetId="0" refreshError="1">
        <row r="114">
          <cell r="U114">
            <v>63095740.380769998</v>
          </cell>
        </row>
      </sheetData>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
      <sheetName val="Sheet1"/>
    </sheetNames>
    <sheetDataSet>
      <sheetData sheetId="0" refreshError="1">
        <row r="48">
          <cell r="AW48">
            <v>71737880</v>
          </cell>
        </row>
        <row r="51">
          <cell r="AW51">
            <v>475</v>
          </cell>
        </row>
        <row r="52">
          <cell r="AW52">
            <v>42263</v>
          </cell>
        </row>
        <row r="53">
          <cell r="AW53">
            <v>2242145.0050000004</v>
          </cell>
        </row>
        <row r="56">
          <cell r="AW56">
            <v>44872626</v>
          </cell>
        </row>
        <row r="57">
          <cell r="AW57">
            <v>0</v>
          </cell>
        </row>
        <row r="66">
          <cell r="AW66">
            <v>1460680</v>
          </cell>
        </row>
        <row r="67">
          <cell r="AW67">
            <v>180189</v>
          </cell>
        </row>
        <row r="68">
          <cell r="AW68">
            <v>85222</v>
          </cell>
        </row>
        <row r="69">
          <cell r="AW69">
            <v>0</v>
          </cell>
        </row>
      </sheetData>
      <sheetData sheetId="1"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
      <sheetName val="Sheet1"/>
    </sheetNames>
    <sheetDataSet>
      <sheetData sheetId="0" refreshError="1">
        <row r="48">
          <cell r="BG48">
            <v>89092970</v>
          </cell>
        </row>
        <row r="51">
          <cell r="BG51">
            <v>475</v>
          </cell>
        </row>
        <row r="52">
          <cell r="BG52">
            <v>32263</v>
          </cell>
        </row>
        <row r="53">
          <cell r="BG53">
            <v>33703384.236999996</v>
          </cell>
        </row>
        <row r="56">
          <cell r="BG56">
            <v>38954457</v>
          </cell>
        </row>
        <row r="58">
          <cell r="BG58">
            <v>8</v>
          </cell>
        </row>
        <row r="66">
          <cell r="BG66">
            <v>1665558</v>
          </cell>
        </row>
        <row r="67">
          <cell r="BG67">
            <v>177718</v>
          </cell>
        </row>
        <row r="68">
          <cell r="BG68">
            <v>84987</v>
          </cell>
        </row>
        <row r="69">
          <cell r="BG69">
            <v>0</v>
          </cell>
        </row>
      </sheetData>
      <sheetData sheetId="1"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20"/>
      <sheetName val="Sheet1"/>
    </sheetNames>
    <sheetDataSet>
      <sheetData sheetId="0" refreshError="1">
        <row r="47">
          <cell r="I47">
            <v>945130248</v>
          </cell>
        </row>
        <row r="58">
          <cell r="A58" t="str">
            <v>Eskom - payment in terms of Section 16(1) of the PFMA</v>
          </cell>
        </row>
      </sheetData>
      <sheetData sheetId="1"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20"/>
      <sheetName val="Sheet1"/>
    </sheetNames>
    <sheetDataSet>
      <sheetData sheetId="0" refreshError="1">
        <row r="61">
          <cell r="A61" t="str">
            <v>South African Express Airways</v>
          </cell>
        </row>
        <row r="62">
          <cell r="A62" t="str">
            <v xml:space="preserve">Denel </v>
          </cell>
        </row>
      </sheetData>
      <sheetData sheetId="1"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
      <sheetName val="Sheet1"/>
    </sheetNames>
    <sheetDataSet>
      <sheetData sheetId="0" refreshError="1">
        <row r="7">
          <cell r="AR7">
            <v>33186</v>
          </cell>
        </row>
        <row r="51">
          <cell r="AR51">
            <v>475</v>
          </cell>
        </row>
        <row r="52">
          <cell r="AR52">
            <v>42263</v>
          </cell>
        </row>
        <row r="58">
          <cell r="AR58">
            <v>260</v>
          </cell>
        </row>
        <row r="67">
          <cell r="AR67">
            <v>176493</v>
          </cell>
        </row>
        <row r="68">
          <cell r="AR68">
            <v>82090</v>
          </cell>
        </row>
      </sheetData>
      <sheetData sheetId="1"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omlongtermissues"/>
      <sheetName val="domredemp"/>
      <sheetName val="foreigndebt"/>
      <sheetName val="cashbalances"/>
    </sheetNames>
    <sheetDataSet>
      <sheetData sheetId="0" refreshError="1">
        <row r="13">
          <cell r="H13">
            <v>143000000</v>
          </cell>
          <cell r="AQ13">
            <v>31098565</v>
          </cell>
        </row>
        <row r="23">
          <cell r="H23">
            <v>410035000</v>
          </cell>
          <cell r="AQ23">
            <v>50571945</v>
          </cell>
        </row>
        <row r="44">
          <cell r="H44">
            <v>106956000</v>
          </cell>
          <cell r="AQ44">
            <v>5008164</v>
          </cell>
        </row>
        <row r="67">
          <cell r="H67">
            <v>47835711.668461092</v>
          </cell>
          <cell r="AQ67">
            <v>-36949546.152860001</v>
          </cell>
        </row>
      </sheetData>
      <sheetData sheetId="1" refreshError="1"/>
      <sheetData sheetId="2" refreshError="1"/>
      <sheetData sheetId="3" refreshError="1"/>
      <sheetData sheetId="4"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omlongtermissues"/>
      <sheetName val="domredemp"/>
      <sheetName val="foreigndebt"/>
      <sheetName val="cashbalances"/>
    </sheetNames>
    <sheetDataSet>
      <sheetData sheetId="0" refreshError="1">
        <row r="13">
          <cell r="M13">
            <v>37582688</v>
          </cell>
        </row>
        <row r="23">
          <cell r="M23">
            <v>32850713</v>
          </cell>
        </row>
        <row r="45">
          <cell r="M45">
            <v>-777665</v>
          </cell>
        </row>
        <row r="68">
          <cell r="M68">
            <v>-18499278.953769997</v>
          </cell>
        </row>
      </sheetData>
      <sheetData sheetId="1" refreshError="1"/>
      <sheetData sheetId="2" refreshError="1"/>
      <sheetData sheetId="3" refreshError="1"/>
      <sheetData sheetId="4"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omlongtermissues"/>
      <sheetName val="domredemp"/>
      <sheetName val="foreigndebt"/>
      <sheetName val="cashbalances"/>
    </sheetNames>
    <sheetDataSet>
      <sheetData sheetId="0" refreshError="1">
        <row r="13">
          <cell r="R13">
            <v>16125619</v>
          </cell>
        </row>
        <row r="23">
          <cell r="R23">
            <v>40638036.743999995</v>
          </cell>
        </row>
        <row r="45">
          <cell r="R45">
            <v>-4931986</v>
          </cell>
        </row>
        <row r="67">
          <cell r="R67">
            <v>537410.36356998235</v>
          </cell>
        </row>
      </sheetData>
      <sheetData sheetId="1" refreshError="1"/>
      <sheetData sheetId="2" refreshError="1"/>
      <sheetData sheetId="3" refreshError="1"/>
      <sheetData sheetId="4"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omlongtermissues"/>
      <sheetName val="domredemp"/>
      <sheetName val="foreigndebt"/>
      <sheetName val="cashbalances"/>
    </sheetNames>
    <sheetDataSet>
      <sheetData sheetId="0" refreshError="1">
        <row r="13">
          <cell r="W13">
            <v>11567828</v>
          </cell>
        </row>
        <row r="23">
          <cell r="W23">
            <v>43402900</v>
          </cell>
        </row>
        <row r="44">
          <cell r="W44">
            <v>-8699700</v>
          </cell>
        </row>
        <row r="67">
          <cell r="W67">
            <v>-23974845.376640022</v>
          </cell>
        </row>
      </sheetData>
      <sheetData sheetId="1" refreshError="1"/>
      <sheetData sheetId="2" refreshError="1"/>
      <sheetData sheetId="3" refreshError="1"/>
      <sheetData sheetId="4"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omlongtermissues"/>
      <sheetName val="domredemp"/>
      <sheetName val="foreigndebt"/>
      <sheetName val="cashbalances"/>
    </sheetNames>
    <sheetDataSet>
      <sheetData sheetId="0" refreshError="1">
        <row r="13">
          <cell r="AB13">
            <v>26289577</v>
          </cell>
        </row>
        <row r="23">
          <cell r="AB23">
            <v>60600922</v>
          </cell>
        </row>
        <row r="44">
          <cell r="AB44">
            <v>86911584</v>
          </cell>
        </row>
        <row r="67">
          <cell r="AB67">
            <v>-39272434.960170001</v>
          </cell>
        </row>
      </sheetData>
      <sheetData sheetId="1" refreshError="1"/>
      <sheetData sheetId="2" refreshError="1"/>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ement 1"/>
    </sheetNames>
    <sheetDataSet>
      <sheetData sheetId="0" refreshError="1">
        <row r="114">
          <cell r="J114">
            <v>68106446.022430018</v>
          </cell>
        </row>
      </sheetData>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omlongtermissues"/>
      <sheetName val="domredemp"/>
      <sheetName val="foreigndebt"/>
      <sheetName val="cashbalances"/>
    </sheetNames>
    <sheetDataSet>
      <sheetData sheetId="0" refreshError="1">
        <row r="13">
          <cell r="AG13">
            <v>-5974831</v>
          </cell>
        </row>
        <row r="23">
          <cell r="AG23">
            <v>37229982</v>
          </cell>
        </row>
        <row r="44">
          <cell r="AG44">
            <v>0</v>
          </cell>
        </row>
        <row r="67">
          <cell r="AG67">
            <v>32418642.456500009</v>
          </cell>
        </row>
      </sheetData>
      <sheetData sheetId="1" refreshError="1"/>
      <sheetData sheetId="2" refreshError="1"/>
      <sheetData sheetId="3" refreshError="1"/>
      <sheetData sheetId="4"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omlongtermissues"/>
      <sheetName val="domredemp"/>
      <sheetName val="foreigndebt"/>
      <sheetName val="cashbalances"/>
    </sheetNames>
    <sheetDataSet>
      <sheetData sheetId="0" refreshError="1">
        <row r="13">
          <cell r="AL13">
            <v>1315362</v>
          </cell>
        </row>
        <row r="23">
          <cell r="AL23">
            <v>50427153</v>
          </cell>
        </row>
        <row r="44">
          <cell r="AL44">
            <v>0</v>
          </cell>
        </row>
        <row r="67">
          <cell r="AL67">
            <v>-8875713.0291699618</v>
          </cell>
        </row>
      </sheetData>
      <sheetData sheetId="1" refreshError="1"/>
      <sheetData sheetId="2" refreshError="1"/>
      <sheetData sheetId="3" refreshError="1"/>
      <sheetData sheetId="4"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omlongtermissues"/>
      <sheetName val="domredemp"/>
      <sheetName val="foreigndebt"/>
      <sheetName val="cashbalances"/>
    </sheetNames>
    <sheetDataSet>
      <sheetData sheetId="0" refreshError="1">
        <row r="13">
          <cell r="AV13">
            <v>295423</v>
          </cell>
        </row>
        <row r="23">
          <cell r="AV23">
            <v>39211461</v>
          </cell>
        </row>
        <row r="44">
          <cell r="AV44">
            <v>-6967</v>
          </cell>
        </row>
        <row r="67">
          <cell r="AV67">
            <v>-18096631.773589998</v>
          </cell>
        </row>
      </sheetData>
      <sheetData sheetId="1" refreshError="1"/>
      <sheetData sheetId="2" refreshError="1"/>
      <sheetData sheetId="3" refreshError="1"/>
      <sheetData sheetId="4"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omlongtermissues"/>
      <sheetName val="domredemp"/>
      <sheetName val="foreigndebt"/>
      <sheetName val="cashbalances"/>
    </sheetNames>
    <sheetDataSet>
      <sheetData sheetId="0" refreshError="1">
        <row r="13">
          <cell r="BA13">
            <v>-33015782</v>
          </cell>
        </row>
        <row r="23">
          <cell r="BA23">
            <v>45711722</v>
          </cell>
        </row>
        <row r="44">
          <cell r="BA44">
            <v>0</v>
          </cell>
        </row>
        <row r="67">
          <cell r="BA67">
            <v>-17747258.769499987</v>
          </cell>
        </row>
      </sheetData>
      <sheetData sheetId="1" refreshError="1"/>
      <sheetData sheetId="2" refreshError="1"/>
      <sheetData sheetId="3" refreshError="1"/>
      <sheetData sheetId="4"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omlongtermissues"/>
      <sheetName val="domredemp"/>
      <sheetName val="foreigndebt"/>
      <sheetName val="cashbalances"/>
    </sheetNames>
    <sheetDataSet>
      <sheetData sheetId="0" refreshError="1">
        <row r="13">
          <cell r="BF13">
            <v>15701292</v>
          </cell>
        </row>
        <row r="23">
          <cell r="BF23">
            <v>34673258</v>
          </cell>
        </row>
        <row r="44">
          <cell r="BF44">
            <v>0</v>
          </cell>
        </row>
        <row r="67">
          <cell r="BF67">
            <v>25860728.776310012</v>
          </cell>
        </row>
      </sheetData>
      <sheetData sheetId="1" refreshError="1"/>
      <sheetData sheetId="2" refreshError="1"/>
      <sheetData sheetId="3" refreshError="1"/>
      <sheetData sheetId="4"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ginal"/>
    </sheetNames>
    <sheetDataSet>
      <sheetData sheetId="0">
        <row r="6">
          <cell r="G6">
            <v>1236489</v>
          </cell>
        </row>
      </sheetData>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ginal"/>
    </sheetNames>
    <sheetDataSet>
      <sheetData sheetId="0">
        <row r="6">
          <cell r="H6">
            <v>2807140</v>
          </cell>
        </row>
      </sheetData>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ginal"/>
    </sheetNames>
    <sheetDataSet>
      <sheetData sheetId="0">
        <row r="6">
          <cell r="I6">
            <v>3319954</v>
          </cell>
        </row>
      </sheetData>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ginal"/>
    </sheetNames>
    <sheetDataSet>
      <sheetData sheetId="0">
        <row r="6">
          <cell r="J6">
            <v>3550323</v>
          </cell>
        </row>
      </sheetData>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ginal"/>
    </sheetNames>
    <sheetDataSet>
      <sheetData sheetId="0">
        <row r="6">
          <cell r="K6">
            <v>3161507</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ement 1"/>
    </sheetNames>
    <sheetDataSet>
      <sheetData sheetId="0" refreshError="1">
        <row r="114">
          <cell r="K114">
            <v>108554101.37664002</v>
          </cell>
        </row>
      </sheetData>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ginal"/>
    </sheetNames>
    <sheetDataSet>
      <sheetData sheetId="0">
        <row r="6">
          <cell r="L6">
            <v>1941577</v>
          </cell>
        </row>
      </sheetData>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ginal"/>
    </sheetNames>
    <sheetDataSet>
      <sheetData sheetId="0">
        <row r="6">
          <cell r="M6">
            <v>2581412</v>
          </cell>
        </row>
      </sheetData>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ginal"/>
    </sheetNames>
    <sheetDataSet>
      <sheetData sheetId="0">
        <row r="6">
          <cell r="N6">
            <v>900558</v>
          </cell>
        </row>
      </sheetData>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ginal"/>
    </sheetNames>
    <sheetDataSet>
      <sheetData sheetId="0">
        <row r="6">
          <cell r="O6">
            <v>2698953</v>
          </cell>
        </row>
      </sheetData>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ginal"/>
    </sheetNames>
    <sheetDataSet>
      <sheetData sheetId="0">
        <row r="6">
          <cell r="P6">
            <v>1360720</v>
          </cell>
        </row>
      </sheetData>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Acc Pol pg1"/>
      <sheetName val="Acc Pol pg2"/>
      <sheetName val="Acc Pol pg3"/>
      <sheetName val="Acc Pol pg4"/>
      <sheetName val="Events aft rd"/>
      <sheetName val="Per"/>
      <sheetName val="NA"/>
      <sheetName val="Pos"/>
      <sheetName val="CF"/>
      <sheetName val="N"/>
      <sheetName val="D"/>
      <sheetName val="1A"/>
      <sheetName val="1B"/>
      <sheetName val="1C"/>
      <sheetName val="1D"/>
      <sheetName val="1E"/>
      <sheetName val="2A"/>
      <sheetName val="2B"/>
      <sheetName val="2C"/>
      <sheetName val="2D"/>
      <sheetName val="2E"/>
      <sheetName val="2F"/>
      <sheetName val="3A"/>
      <sheetName val="3B"/>
      <sheetName val="3C"/>
      <sheetName val="4A"/>
      <sheetName val="4B"/>
      <sheetName val="4C"/>
      <sheetName val="4D"/>
      <sheetName val="4E"/>
      <sheetName val="4F"/>
      <sheetName val="5A"/>
      <sheetName val="5B"/>
      <sheetName val="6"/>
      <sheetName val="7A"/>
      <sheetName val="7B"/>
      <sheetName val="7C"/>
      <sheetName val="8A"/>
      <sheetName val="8B"/>
      <sheetName val="8C"/>
      <sheetName val="8D"/>
      <sheetName val="9A"/>
      <sheetName val="9B"/>
      <sheetName val="9C"/>
      <sheetName val="9D"/>
      <sheetName val="10"/>
      <sheetName val="11"/>
      <sheetName val="Current year TB"/>
      <sheetName val="Prior year TB"/>
      <sheetName val="Exceptions"/>
      <sheetName val="Recon DWS Appropriation"/>
      <sheetName val="Recon STATS SA appropriation"/>
      <sheetName val="Recon to Budget Deficit"/>
      <sheetName val="Recon Note 22"/>
      <sheetName val="Recon Statement 15 Current YR "/>
      <sheetName val="ALM AFS"/>
      <sheetName val="Recon Statement 15 Prior YR"/>
      <sheetName val="ALM note 11 2017-2018"/>
      <sheetName val="Recon to Cash "/>
      <sheetName val="ALM note 11 2016-2017 f"/>
      <sheetName val="Accounting Officers Review"/>
      <sheetName val="Graphs"/>
      <sheetName val="alm note 11 2016-2017"/>
      <sheetName val="ALM Note 11 2015-2016"/>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row r="17">
          <cell r="H17">
            <v>917161637240.06995</v>
          </cell>
          <cell r="L17" t="str">
            <v>Inland revenue</v>
          </cell>
        </row>
      </sheetData>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ginal"/>
    </sheetNames>
    <sheetDataSet>
      <sheetData sheetId="0" refreshError="1">
        <row r="40">
          <cell r="G40">
            <v>-131872</v>
          </cell>
        </row>
      </sheetData>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ginal"/>
    </sheetNames>
    <sheetDataSet>
      <sheetData sheetId="0" refreshError="1">
        <row r="40">
          <cell r="H40">
            <v>-83878</v>
          </cell>
        </row>
      </sheetData>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ginal"/>
    </sheetNames>
    <sheetDataSet>
      <sheetData sheetId="0" refreshError="1">
        <row r="40">
          <cell r="I40">
            <v>-23306</v>
          </cell>
        </row>
      </sheetData>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ginal"/>
    </sheetNames>
    <sheetDataSet>
      <sheetData sheetId="0" refreshError="1">
        <row r="6">
          <cell r="J6">
            <v>3550323</v>
          </cell>
        </row>
        <row r="40">
          <cell r="X40">
            <v>-119906</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ement 1"/>
    </sheetNames>
    <sheetDataSet>
      <sheetData sheetId="0" refreshError="1">
        <row r="114">
          <cell r="L114">
            <v>62846312.960169993</v>
          </cell>
        </row>
      </sheetData>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ginal"/>
    </sheetNames>
    <sheetDataSet>
      <sheetData sheetId="0" refreshError="1">
        <row r="40">
          <cell r="K40">
            <v>-230</v>
          </cell>
        </row>
      </sheetData>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ginal"/>
    </sheetNames>
    <sheetDataSet>
      <sheetData sheetId="0" refreshError="1">
        <row r="40">
          <cell r="N40">
            <v>-1363</v>
          </cell>
        </row>
      </sheetData>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ginal"/>
    </sheetNames>
    <sheetDataSet>
      <sheetData sheetId="0" refreshError="1">
        <row r="6">
          <cell r="O6">
            <v>2698953</v>
          </cell>
        </row>
        <row r="40">
          <cell r="AC40">
            <v>-107525</v>
          </cell>
        </row>
      </sheetData>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ginal"/>
    </sheetNames>
    <sheetDataSet>
      <sheetData sheetId="0" refreshError="1">
        <row r="40">
          <cell r="P40">
            <v>-298</v>
          </cell>
        </row>
      </sheetData>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omlongtermissues"/>
      <sheetName val="domredemp"/>
      <sheetName val="foreigndebt"/>
      <sheetName val="cashbalances"/>
    </sheetNames>
    <sheetDataSet>
      <sheetData sheetId="0">
        <row r="8">
          <cell r="H8" t="str">
            <v>2020/21</v>
          </cell>
        </row>
        <row r="9">
          <cell r="H9" t="str">
            <v>Revised</v>
          </cell>
        </row>
      </sheetData>
      <sheetData sheetId="1">
        <row r="9">
          <cell r="G9" t="str">
            <v>Revised</v>
          </cell>
        </row>
        <row r="13">
          <cell r="G13">
            <v>514767000</v>
          </cell>
          <cell r="L13">
            <v>38350619</v>
          </cell>
          <cell r="Q13">
            <v>45031287.743999995</v>
          </cell>
          <cell r="V13">
            <v>49600848</v>
          </cell>
          <cell r="AA13">
            <v>69933031</v>
          </cell>
          <cell r="AF13">
            <v>44319358</v>
          </cell>
          <cell r="AK13">
            <v>61486843</v>
          </cell>
          <cell r="AP13">
            <v>59931421</v>
          </cell>
          <cell r="AU13">
            <v>46634910</v>
          </cell>
          <cell r="AZ13">
            <v>52191398</v>
          </cell>
          <cell r="BE13">
            <v>39060638</v>
          </cell>
          <cell r="BJ13">
            <v>0</v>
          </cell>
          <cell r="BO13">
            <v>0</v>
          </cell>
          <cell r="BT13">
            <v>506540353.74399996</v>
          </cell>
        </row>
        <row r="14">
          <cell r="G14">
            <v>0</v>
          </cell>
          <cell r="L14">
            <v>0</v>
          </cell>
          <cell r="Q14">
            <v>0</v>
          </cell>
          <cell r="V14">
            <v>0</v>
          </cell>
          <cell r="AA14">
            <v>0</v>
          </cell>
          <cell r="AF14">
            <v>0</v>
          </cell>
          <cell r="AK14">
            <v>0</v>
          </cell>
          <cell r="AP14">
            <v>0</v>
          </cell>
          <cell r="AU14">
            <v>0</v>
          </cell>
          <cell r="AZ14">
            <v>0</v>
          </cell>
          <cell r="BE14">
            <v>0</v>
          </cell>
          <cell r="BJ14">
            <v>0</v>
          </cell>
          <cell r="BO14">
            <v>0</v>
          </cell>
          <cell r="BT14">
            <v>0</v>
          </cell>
        </row>
        <row r="15">
          <cell r="G15">
            <v>0</v>
          </cell>
          <cell r="L15">
            <v>487336</v>
          </cell>
          <cell r="Q15">
            <v>29682</v>
          </cell>
          <cell r="V15">
            <v>28489</v>
          </cell>
          <cell r="AA15">
            <v>0</v>
          </cell>
          <cell r="AF15">
            <v>41191</v>
          </cell>
          <cell r="AK15">
            <v>18552</v>
          </cell>
          <cell r="AP15">
            <v>0</v>
          </cell>
          <cell r="AU15">
            <v>85877</v>
          </cell>
          <cell r="AZ15">
            <v>204461</v>
          </cell>
          <cell r="BE15">
            <v>132680</v>
          </cell>
          <cell r="BJ15">
            <v>0</v>
          </cell>
          <cell r="BO15">
            <v>0</v>
          </cell>
          <cell r="BT15">
            <v>1028268</v>
          </cell>
        </row>
        <row r="16">
          <cell r="L16">
            <v>0</v>
          </cell>
          <cell r="Q16">
            <v>0</v>
          </cell>
          <cell r="V16">
            <v>0</v>
          </cell>
          <cell r="AA16">
            <v>0</v>
          </cell>
          <cell r="AF16">
            <v>0</v>
          </cell>
          <cell r="AK16">
            <v>0</v>
          </cell>
          <cell r="AP16">
            <v>0</v>
          </cell>
          <cell r="AU16">
            <v>0</v>
          </cell>
          <cell r="AZ16">
            <v>0</v>
          </cell>
          <cell r="BE16">
            <v>0</v>
          </cell>
          <cell r="BJ16">
            <v>0</v>
          </cell>
          <cell r="BO16">
            <v>0</v>
          </cell>
          <cell r="BT16">
            <v>0</v>
          </cell>
        </row>
        <row r="20">
          <cell r="G20">
            <v>52267000</v>
          </cell>
          <cell r="L20">
            <v>4299769</v>
          </cell>
          <cell r="Q20">
            <v>4058204</v>
          </cell>
          <cell r="V20">
            <v>6085389</v>
          </cell>
          <cell r="AA20">
            <v>8992564</v>
          </cell>
          <cell r="AF20">
            <v>6877121</v>
          </cell>
          <cell r="AK20">
            <v>10836667</v>
          </cell>
          <cell r="AP20">
            <v>9026146</v>
          </cell>
          <cell r="AU20">
            <v>7195171</v>
          </cell>
          <cell r="AZ20">
            <v>6333842</v>
          </cell>
          <cell r="BE20">
            <v>3989426</v>
          </cell>
          <cell r="BJ20">
            <v>0</v>
          </cell>
          <cell r="BO20">
            <v>0</v>
          </cell>
          <cell r="BT20">
            <v>67694299</v>
          </cell>
        </row>
        <row r="217">
          <cell r="G217">
            <v>0</v>
          </cell>
          <cell r="L217">
            <v>0</v>
          </cell>
          <cell r="Q217">
            <v>0</v>
          </cell>
          <cell r="V217">
            <v>0</v>
          </cell>
          <cell r="AA217">
            <v>0</v>
          </cell>
          <cell r="AF217">
            <v>0</v>
          </cell>
          <cell r="AK217">
            <v>0</v>
          </cell>
          <cell r="AP217">
            <v>0</v>
          </cell>
          <cell r="AU217">
            <v>0</v>
          </cell>
          <cell r="AZ217">
            <v>0</v>
          </cell>
          <cell r="BE217">
            <v>0</v>
          </cell>
          <cell r="BJ217">
            <v>0</v>
          </cell>
          <cell r="BO217">
            <v>0</v>
          </cell>
          <cell r="BT217">
            <v>0</v>
          </cell>
        </row>
        <row r="294">
          <cell r="D294" t="str">
            <v xml:space="preserve">  R2044 (8.75%  2044-45-46/01/31)</v>
          </cell>
        </row>
        <row r="309">
          <cell r="D309" t="str">
            <v xml:space="preserve">  R210 (2.60%  2028/03/31)</v>
          </cell>
        </row>
        <row r="312">
          <cell r="D312" t="str">
            <v xml:space="preserve">  R2037  (8.50%  2037/01/31)</v>
          </cell>
        </row>
        <row r="338">
          <cell r="D338" t="str">
            <v xml:space="preserve">  R209  (6.25%  2036/03/31)</v>
          </cell>
        </row>
      </sheetData>
      <sheetData sheetId="2">
        <row r="9">
          <cell r="G9" t="str">
            <v>Revised</v>
          </cell>
        </row>
        <row r="13">
          <cell r="G13">
            <v>52465000</v>
          </cell>
          <cell r="L13">
            <v>1200137</v>
          </cell>
          <cell r="Q13">
            <v>335047</v>
          </cell>
          <cell r="V13">
            <v>112559</v>
          </cell>
          <cell r="AA13">
            <v>339545</v>
          </cell>
          <cell r="AF13">
            <v>212255</v>
          </cell>
          <cell r="AK13">
            <v>223023</v>
          </cell>
          <cell r="AP13">
            <v>333330</v>
          </cell>
          <cell r="AU13">
            <v>314155</v>
          </cell>
          <cell r="AZ13">
            <v>59957</v>
          </cell>
          <cell r="BE13">
            <v>397954</v>
          </cell>
          <cell r="BJ13">
            <v>0</v>
          </cell>
          <cell r="BO13">
            <v>0</v>
          </cell>
          <cell r="BT13">
            <v>3527962</v>
          </cell>
        </row>
        <row r="14">
          <cell r="G14">
            <v>0</v>
          </cell>
          <cell r="L14">
            <v>0</v>
          </cell>
          <cell r="Q14">
            <v>0</v>
          </cell>
          <cell r="V14">
            <v>0</v>
          </cell>
          <cell r="AA14">
            <v>0</v>
          </cell>
          <cell r="AF14">
            <v>0</v>
          </cell>
          <cell r="AK14">
            <v>0</v>
          </cell>
          <cell r="AP14">
            <v>0</v>
          </cell>
          <cell r="AU14">
            <v>0</v>
          </cell>
          <cell r="AZ14">
            <v>0</v>
          </cell>
          <cell r="BE14">
            <v>0</v>
          </cell>
          <cell r="BJ14">
            <v>0</v>
          </cell>
          <cell r="BO14">
            <v>0</v>
          </cell>
          <cell r="BT14">
            <v>0</v>
          </cell>
        </row>
        <row r="15">
          <cell r="G15">
            <v>0</v>
          </cell>
          <cell r="L15">
            <v>487336</v>
          </cell>
          <cell r="Q15">
            <v>29682</v>
          </cell>
          <cell r="V15">
            <v>28489</v>
          </cell>
          <cell r="AA15">
            <v>0</v>
          </cell>
          <cell r="AF15">
            <v>41191</v>
          </cell>
          <cell r="AK15">
            <v>18552</v>
          </cell>
          <cell r="AP15">
            <v>0</v>
          </cell>
          <cell r="AU15">
            <v>0</v>
          </cell>
          <cell r="AZ15">
            <v>290338</v>
          </cell>
          <cell r="BE15">
            <v>132680</v>
          </cell>
          <cell r="BJ15">
            <v>0</v>
          </cell>
          <cell r="BO15">
            <v>0</v>
          </cell>
          <cell r="BT15">
            <v>1028268</v>
          </cell>
        </row>
        <row r="16">
          <cell r="G16">
            <v>0</v>
          </cell>
          <cell r="L16">
            <v>0</v>
          </cell>
          <cell r="Q16">
            <v>0</v>
          </cell>
          <cell r="V16">
            <v>0</v>
          </cell>
          <cell r="AA16">
            <v>0</v>
          </cell>
          <cell r="AF16">
            <v>0</v>
          </cell>
          <cell r="AK16">
            <v>0</v>
          </cell>
          <cell r="AP16">
            <v>0</v>
          </cell>
          <cell r="AU16">
            <v>0</v>
          </cell>
          <cell r="AZ16">
            <v>0</v>
          </cell>
          <cell r="BE16">
            <v>0</v>
          </cell>
          <cell r="BJ16">
            <v>0</v>
          </cell>
          <cell r="BO16">
            <v>0</v>
          </cell>
          <cell r="BT16">
            <v>0</v>
          </cell>
        </row>
        <row r="32">
          <cell r="G32">
            <v>0</v>
          </cell>
          <cell r="L32">
            <v>0</v>
          </cell>
          <cell r="Q32">
            <v>0</v>
          </cell>
          <cell r="V32">
            <v>0</v>
          </cell>
          <cell r="AA32">
            <v>0</v>
          </cell>
          <cell r="AF32">
            <v>0</v>
          </cell>
          <cell r="AK32">
            <v>0</v>
          </cell>
          <cell r="AP32">
            <v>0</v>
          </cell>
          <cell r="AU32">
            <v>0</v>
          </cell>
          <cell r="AZ32">
            <v>0</v>
          </cell>
          <cell r="BE32">
            <v>0</v>
          </cell>
          <cell r="BJ32">
            <v>0</v>
          </cell>
          <cell r="BO32">
            <v>0</v>
          </cell>
          <cell r="BT32">
            <v>0</v>
          </cell>
        </row>
        <row r="86">
          <cell r="D86" t="str">
            <v xml:space="preserve">  I2029 (1.875%  2029/03/31)</v>
          </cell>
        </row>
        <row r="124">
          <cell r="G124">
            <v>0</v>
          </cell>
          <cell r="L124">
            <v>0</v>
          </cell>
          <cell r="Q124">
            <v>0</v>
          </cell>
          <cell r="V124">
            <v>0</v>
          </cell>
          <cell r="AA124">
            <v>0</v>
          </cell>
          <cell r="AF124">
            <v>0</v>
          </cell>
          <cell r="AK124">
            <v>0</v>
          </cell>
          <cell r="AP124">
            <v>0</v>
          </cell>
          <cell r="AU124">
            <v>0</v>
          </cell>
          <cell r="AZ124">
            <v>0</v>
          </cell>
          <cell r="BE124">
            <v>0</v>
          </cell>
          <cell r="BJ124">
            <v>0</v>
          </cell>
          <cell r="BO124">
            <v>0</v>
          </cell>
          <cell r="BT124">
            <v>0</v>
          </cell>
        </row>
        <row r="211">
          <cell r="BV211">
            <v>0</v>
          </cell>
        </row>
      </sheetData>
      <sheetData sheetId="3">
        <row r="9">
          <cell r="G9" t="str">
            <v>Revised</v>
          </cell>
        </row>
        <row r="17">
          <cell r="G17">
            <v>121373000</v>
          </cell>
          <cell r="L17">
            <v>0</v>
          </cell>
          <cell r="Q17">
            <v>0</v>
          </cell>
          <cell r="V17">
            <v>0</v>
          </cell>
          <cell r="AA17">
            <v>86911584</v>
          </cell>
          <cell r="AF17">
            <v>0</v>
          </cell>
          <cell r="AK17">
            <v>0</v>
          </cell>
          <cell r="AP17">
            <v>5008164</v>
          </cell>
          <cell r="AU17">
            <v>0</v>
          </cell>
          <cell r="AZ17">
            <v>0</v>
          </cell>
          <cell r="BE17">
            <v>0</v>
          </cell>
          <cell r="BJ17">
            <v>0</v>
          </cell>
          <cell r="BO17">
            <v>0</v>
          </cell>
          <cell r="BT17">
            <v>91919748</v>
          </cell>
        </row>
        <row r="19">
          <cell r="G19">
            <v>0</v>
          </cell>
          <cell r="L19">
            <v>0</v>
          </cell>
          <cell r="Q19">
            <v>0</v>
          </cell>
          <cell r="V19">
            <v>0</v>
          </cell>
          <cell r="AA19">
            <v>0</v>
          </cell>
          <cell r="AF19">
            <v>0</v>
          </cell>
          <cell r="AK19">
            <v>0</v>
          </cell>
          <cell r="AP19">
            <v>0</v>
          </cell>
          <cell r="AU19">
            <v>0</v>
          </cell>
          <cell r="AZ19">
            <v>0</v>
          </cell>
          <cell r="BE19">
            <v>0</v>
          </cell>
          <cell r="BJ19">
            <v>0</v>
          </cell>
          <cell r="BO19">
            <v>0</v>
          </cell>
          <cell r="BT19">
            <v>0</v>
          </cell>
        </row>
        <row r="62">
          <cell r="G62">
            <v>0</v>
          </cell>
          <cell r="L62">
            <v>0</v>
          </cell>
          <cell r="Q62">
            <v>0</v>
          </cell>
          <cell r="V62">
            <v>0</v>
          </cell>
          <cell r="AA62">
            <v>0</v>
          </cell>
          <cell r="AF62">
            <v>0</v>
          </cell>
          <cell r="AK62">
            <v>0</v>
          </cell>
          <cell r="AP62">
            <v>0</v>
          </cell>
          <cell r="AU62">
            <v>0</v>
          </cell>
          <cell r="AZ62">
            <v>0</v>
          </cell>
          <cell r="BE62">
            <v>0</v>
          </cell>
          <cell r="BJ62">
            <v>0</v>
          </cell>
          <cell r="BO62">
            <v>0</v>
          </cell>
          <cell r="BT62">
            <v>0</v>
          </cell>
        </row>
        <row r="64">
          <cell r="G64">
            <v>0</v>
          </cell>
          <cell r="L64">
            <v>0</v>
          </cell>
          <cell r="Q64">
            <v>0</v>
          </cell>
          <cell r="V64">
            <v>0</v>
          </cell>
          <cell r="AA64">
            <v>0</v>
          </cell>
          <cell r="AF64">
            <v>0</v>
          </cell>
          <cell r="AK64">
            <v>0</v>
          </cell>
          <cell r="AP64">
            <v>0</v>
          </cell>
          <cell r="AU64">
            <v>0</v>
          </cell>
          <cell r="AZ64">
            <v>0</v>
          </cell>
          <cell r="BE64">
            <v>0</v>
          </cell>
          <cell r="BJ64">
            <v>0</v>
          </cell>
          <cell r="BO64">
            <v>0</v>
          </cell>
          <cell r="BT64">
            <v>0</v>
          </cell>
        </row>
        <row r="72">
          <cell r="L72">
            <v>0</v>
          </cell>
          <cell r="Q72">
            <v>0</v>
          </cell>
          <cell r="V72">
            <v>0</v>
          </cell>
          <cell r="AA72">
            <v>0</v>
          </cell>
          <cell r="AF72">
            <v>0</v>
          </cell>
          <cell r="AK72">
            <v>0</v>
          </cell>
          <cell r="AP72">
            <v>0</v>
          </cell>
          <cell r="AU72">
            <v>0</v>
          </cell>
          <cell r="AZ72">
            <v>0</v>
          </cell>
          <cell r="BE72">
            <v>0</v>
          </cell>
          <cell r="BJ72">
            <v>0</v>
          </cell>
          <cell r="BO72">
            <v>0</v>
          </cell>
          <cell r="BT72">
            <v>0</v>
          </cell>
        </row>
        <row r="74">
          <cell r="L74">
            <v>0</v>
          </cell>
          <cell r="Q74">
            <v>0</v>
          </cell>
          <cell r="V74">
            <v>0</v>
          </cell>
          <cell r="AA74">
            <v>0</v>
          </cell>
          <cell r="AF74">
            <v>0</v>
          </cell>
          <cell r="AK74">
            <v>0</v>
          </cell>
          <cell r="AP74">
            <v>0</v>
          </cell>
          <cell r="AU74">
            <v>0</v>
          </cell>
          <cell r="AZ74">
            <v>0</v>
          </cell>
          <cell r="BE74">
            <v>0</v>
          </cell>
          <cell r="BJ74">
            <v>0</v>
          </cell>
          <cell r="BO74">
            <v>0</v>
          </cell>
          <cell r="BT74">
            <v>0</v>
          </cell>
        </row>
        <row r="108">
          <cell r="G108">
            <v>7961000</v>
          </cell>
          <cell r="L108">
            <v>391647</v>
          </cell>
          <cell r="Q108">
            <v>1962723</v>
          </cell>
          <cell r="V108">
            <v>5604275</v>
          </cell>
          <cell r="AA108">
            <v>0</v>
          </cell>
          <cell r="AF108">
            <v>0</v>
          </cell>
          <cell r="AK108">
            <v>0</v>
          </cell>
          <cell r="AP108">
            <v>0</v>
          </cell>
          <cell r="AU108">
            <v>1940</v>
          </cell>
          <cell r="AZ108">
            <v>0</v>
          </cell>
          <cell r="BE108">
            <v>0</v>
          </cell>
          <cell r="BJ108">
            <v>0</v>
          </cell>
          <cell r="BO108">
            <v>0</v>
          </cell>
          <cell r="BT108">
            <v>7960585</v>
          </cell>
        </row>
        <row r="109">
          <cell r="G109">
            <v>6456000</v>
          </cell>
          <cell r="L109">
            <v>386018</v>
          </cell>
          <cell r="Q109">
            <v>2969263</v>
          </cell>
          <cell r="V109">
            <v>3095425</v>
          </cell>
          <cell r="AA109">
            <v>0</v>
          </cell>
          <cell r="AF109">
            <v>0</v>
          </cell>
          <cell r="AK109">
            <v>0</v>
          </cell>
          <cell r="AP109">
            <v>0</v>
          </cell>
          <cell r="AU109">
            <v>5027</v>
          </cell>
          <cell r="AZ109">
            <v>0</v>
          </cell>
          <cell r="BE109">
            <v>0</v>
          </cell>
          <cell r="BJ109">
            <v>0</v>
          </cell>
          <cell r="BO109">
            <v>0</v>
          </cell>
          <cell r="BT109">
            <v>6455733</v>
          </cell>
        </row>
        <row r="156">
          <cell r="G156">
            <v>0</v>
          </cell>
          <cell r="L156">
            <v>0</v>
          </cell>
          <cell r="Q156">
            <v>0</v>
          </cell>
          <cell r="V156">
            <v>0</v>
          </cell>
          <cell r="AA156">
            <v>0</v>
          </cell>
          <cell r="AF156">
            <v>0</v>
          </cell>
          <cell r="AK156">
            <v>0</v>
          </cell>
          <cell r="AP156">
            <v>0</v>
          </cell>
          <cell r="AU156">
            <v>0</v>
          </cell>
          <cell r="AZ156">
            <v>0</v>
          </cell>
          <cell r="BE156">
            <v>0</v>
          </cell>
          <cell r="BJ156">
            <v>0</v>
          </cell>
          <cell r="BO156">
            <v>0</v>
          </cell>
          <cell r="BT156">
            <v>0</v>
          </cell>
        </row>
        <row r="157">
          <cell r="G157">
            <v>0</v>
          </cell>
          <cell r="L157">
            <v>0</v>
          </cell>
          <cell r="Q157">
            <v>0</v>
          </cell>
          <cell r="V157">
            <v>0</v>
          </cell>
          <cell r="AA157">
            <v>0</v>
          </cell>
          <cell r="AF157">
            <v>0</v>
          </cell>
          <cell r="AK157">
            <v>0</v>
          </cell>
          <cell r="AP157">
            <v>0</v>
          </cell>
          <cell r="AU157">
            <v>0</v>
          </cell>
          <cell r="AZ157">
            <v>0</v>
          </cell>
          <cell r="BE157">
            <v>0</v>
          </cell>
          <cell r="BJ157">
            <v>0</v>
          </cell>
          <cell r="BO157">
            <v>0</v>
          </cell>
          <cell r="BT157">
            <v>0</v>
          </cell>
        </row>
        <row r="168">
          <cell r="L168">
            <v>0</v>
          </cell>
          <cell r="Q168">
            <v>0</v>
          </cell>
          <cell r="V168">
            <v>0</v>
          </cell>
          <cell r="AA168">
            <v>0</v>
          </cell>
          <cell r="AF168">
            <v>0</v>
          </cell>
          <cell r="AK168">
            <v>0</v>
          </cell>
          <cell r="AP168">
            <v>0</v>
          </cell>
          <cell r="AU168">
            <v>0</v>
          </cell>
          <cell r="AZ168">
            <v>0</v>
          </cell>
          <cell r="BE168">
            <v>0</v>
          </cell>
          <cell r="BJ168">
            <v>0</v>
          </cell>
          <cell r="BO168">
            <v>0</v>
          </cell>
          <cell r="BT168">
            <v>0</v>
          </cell>
        </row>
        <row r="169">
          <cell r="L169">
            <v>0</v>
          </cell>
          <cell r="Q169">
            <v>0</v>
          </cell>
          <cell r="V169">
            <v>0</v>
          </cell>
          <cell r="AA169">
            <v>0</v>
          </cell>
          <cell r="AF169">
            <v>0</v>
          </cell>
          <cell r="AK169">
            <v>0</v>
          </cell>
          <cell r="AP169">
            <v>0</v>
          </cell>
          <cell r="AU169">
            <v>0</v>
          </cell>
          <cell r="AZ169">
            <v>0</v>
          </cell>
          <cell r="BE169">
            <v>0</v>
          </cell>
          <cell r="BJ169">
            <v>0</v>
          </cell>
          <cell r="BO169">
            <v>0</v>
          </cell>
          <cell r="BT169">
            <v>0</v>
          </cell>
        </row>
        <row r="227">
          <cell r="BV227">
            <v>0</v>
          </cell>
        </row>
        <row r="228">
          <cell r="BV228">
            <v>0</v>
          </cell>
        </row>
        <row r="239">
          <cell r="BV239">
            <v>0</v>
          </cell>
        </row>
        <row r="240">
          <cell r="BV240">
            <v>0</v>
          </cell>
        </row>
      </sheetData>
      <sheetData sheetId="4">
        <row r="12">
          <cell r="H12">
            <v>40467668</v>
          </cell>
          <cell r="M12">
            <v>-18484170</v>
          </cell>
          <cell r="R12">
            <v>3349854</v>
          </cell>
          <cell r="W12">
            <v>-22973000</v>
          </cell>
          <cell r="AB12">
            <v>-53649787</v>
          </cell>
          <cell r="AG12">
            <v>41961434</v>
          </cell>
          <cell r="AL12">
            <v>-13252498</v>
          </cell>
          <cell r="AQ12">
            <v>-40961985</v>
          </cell>
          <cell r="AV12">
            <v>-19510192</v>
          </cell>
          <cell r="BA12">
            <v>-18762903</v>
          </cell>
          <cell r="BF12">
            <v>-420333</v>
          </cell>
          <cell r="BK12">
            <v>378365248</v>
          </cell>
          <cell r="BP12">
            <v>0</v>
          </cell>
          <cell r="BU12">
            <v>-142703580</v>
          </cell>
        </row>
        <row r="23">
          <cell r="H23">
            <v>0</v>
          </cell>
          <cell r="M23">
            <v>34143659</v>
          </cell>
          <cell r="R23">
            <v>-4349966</v>
          </cell>
          <cell r="W23">
            <v>2527515</v>
          </cell>
          <cell r="AB23">
            <v>-24856159</v>
          </cell>
          <cell r="AG23">
            <v>26866570</v>
          </cell>
          <cell r="AL23">
            <v>-5977613</v>
          </cell>
          <cell r="AQ23">
            <v>15416167</v>
          </cell>
          <cell r="AV23">
            <v>-315227</v>
          </cell>
          <cell r="BA23">
            <v>-6539100</v>
          </cell>
          <cell r="BF23">
            <v>59957836</v>
          </cell>
          <cell r="BK23">
            <v>0</v>
          </cell>
          <cell r="BP23">
            <v>0</v>
          </cell>
          <cell r="BU23">
            <v>96873682</v>
          </cell>
        </row>
        <row r="25">
          <cell r="H25">
            <v>0</v>
          </cell>
          <cell r="M25">
            <v>0</v>
          </cell>
          <cell r="R25">
            <v>0</v>
          </cell>
          <cell r="W25">
            <v>0</v>
          </cell>
          <cell r="AB25">
            <v>0</v>
          </cell>
          <cell r="AG25">
            <v>0</v>
          </cell>
          <cell r="AL25">
            <v>0</v>
          </cell>
          <cell r="AQ25">
            <v>0</v>
          </cell>
          <cell r="AV25">
            <v>0</v>
          </cell>
          <cell r="BA25">
            <v>0</v>
          </cell>
          <cell r="BF25">
            <v>0</v>
          </cell>
          <cell r="BK25">
            <v>0</v>
          </cell>
          <cell r="BP25">
            <v>0</v>
          </cell>
          <cell r="BU25">
            <v>0</v>
          </cell>
        </row>
        <row r="27">
          <cell r="H27">
            <v>7368043.66846109</v>
          </cell>
          <cell r="M27">
            <v>0</v>
          </cell>
          <cell r="R27">
            <v>871744.25600000005</v>
          </cell>
          <cell r="W27">
            <v>0</v>
          </cell>
          <cell r="AB27">
            <v>126224</v>
          </cell>
          <cell r="AG27">
            <v>0</v>
          </cell>
          <cell r="AL27">
            <v>3836</v>
          </cell>
          <cell r="AQ27">
            <v>1831061</v>
          </cell>
          <cell r="AV27">
            <v>2236273</v>
          </cell>
          <cell r="BA27">
            <v>1620990</v>
          </cell>
          <cell r="BF27">
            <v>89678</v>
          </cell>
          <cell r="BK27">
            <v>0</v>
          </cell>
          <cell r="BP27">
            <v>0</v>
          </cell>
          <cell r="BU27">
            <v>6779806.2560000001</v>
          </cell>
        </row>
        <row r="32">
          <cell r="H32">
            <v>0</v>
          </cell>
          <cell r="M32">
            <v>0</v>
          </cell>
          <cell r="R32">
            <v>0</v>
          </cell>
          <cell r="W32">
            <v>0</v>
          </cell>
          <cell r="AB32">
            <v>-22185</v>
          </cell>
          <cell r="AG32">
            <v>0</v>
          </cell>
          <cell r="AL32">
            <v>0</v>
          </cell>
          <cell r="AQ32">
            <v>0</v>
          </cell>
          <cell r="AV32">
            <v>0</v>
          </cell>
          <cell r="BA32">
            <v>0</v>
          </cell>
          <cell r="BF32">
            <v>0</v>
          </cell>
          <cell r="BK32">
            <v>0</v>
          </cell>
          <cell r="BP32">
            <v>0</v>
          </cell>
          <cell r="BU32">
            <v>-22185</v>
          </cell>
        </row>
        <row r="38">
          <cell r="H38">
            <v>0</v>
          </cell>
          <cell r="M38">
            <v>-34158767.953769997</v>
          </cell>
          <cell r="R38">
            <v>665778.1075699823</v>
          </cell>
          <cell r="W38">
            <v>-3529360.3766400218</v>
          </cell>
          <cell r="AB38">
            <v>39129472.039829999</v>
          </cell>
          <cell r="AG38">
            <v>-36409361.543499991</v>
          </cell>
          <cell r="AL38">
            <v>10350561.970830038</v>
          </cell>
          <cell r="AQ38">
            <v>-13234789.152860001</v>
          </cell>
          <cell r="AV38">
            <v>-507485.77358999848</v>
          </cell>
          <cell r="BA38">
            <v>5933754.2305000126</v>
          </cell>
          <cell r="BF38">
            <v>-33766452.223689988</v>
          </cell>
          <cell r="BK38">
            <v>0</v>
          </cell>
          <cell r="BP38">
            <v>0</v>
          </cell>
          <cell r="BU38">
            <v>-65526650.67531997</v>
          </cell>
        </row>
      </sheetData>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ginal"/>
      <sheetName val="Sheet1"/>
    </sheetNames>
    <sheetDataSet>
      <sheetData sheetId="0" refreshError="1">
        <row r="82">
          <cell r="F82">
            <v>34158767.953769997</v>
          </cell>
        </row>
      </sheetData>
      <sheetData sheetId="1"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ginal"/>
      <sheetName val="Sheet1"/>
    </sheetNames>
    <sheetDataSet>
      <sheetData sheetId="0" refreshError="1">
        <row r="82">
          <cell r="G82">
            <v>-665778.1075699823</v>
          </cell>
        </row>
      </sheetData>
      <sheetData sheetId="1" refreshError="1"/>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ginal"/>
      <sheetName val="Sheet1"/>
    </sheetNames>
    <sheetDataSet>
      <sheetData sheetId="0" refreshError="1">
        <row r="82">
          <cell r="H82">
            <v>3529360.3766400218</v>
          </cell>
        </row>
      </sheetData>
      <sheetData sheetId="1" refreshError="1"/>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ginal"/>
      <sheetName val="Sheet1"/>
    </sheetNames>
    <sheetDataSet>
      <sheetData sheetId="0" refreshError="1">
        <row r="82">
          <cell r="I82">
            <v>-39129472.039829999</v>
          </cell>
        </row>
      </sheetData>
      <sheetData sheetId="1" refreshError="1"/>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ginal"/>
      <sheetName val="Sheet1"/>
    </sheetNames>
    <sheetDataSet>
      <sheetData sheetId="0" refreshError="1">
        <row r="82">
          <cell r="J82">
            <v>36409361.543499991</v>
          </cell>
        </row>
      </sheetData>
      <sheetData sheetId="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ement 1"/>
    </sheetNames>
    <sheetDataSet>
      <sheetData sheetId="0" refreshError="1">
        <row r="114">
          <cell r="M114">
            <v>101855148.66649999</v>
          </cell>
        </row>
      </sheetData>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ginal"/>
      <sheetName val="Sheet1"/>
    </sheetNames>
    <sheetDataSet>
      <sheetData sheetId="0" refreshError="1">
        <row r="82">
          <cell r="K82">
            <v>-10350561.970830038</v>
          </cell>
        </row>
      </sheetData>
      <sheetData sheetId="1" refreshError="1"/>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ginal"/>
      <sheetName val="Sheet1"/>
    </sheetNames>
    <sheetDataSet>
      <sheetData sheetId="0" refreshError="1">
        <row r="82">
          <cell r="L82">
            <v>13234789.152860001</v>
          </cell>
        </row>
      </sheetData>
      <sheetData sheetId="1" refreshError="1"/>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ginal"/>
      <sheetName val="Sheet1"/>
    </sheetNames>
    <sheetDataSet>
      <sheetData sheetId="0" refreshError="1">
        <row r="82">
          <cell r="M82">
            <v>507485.77358999848</v>
          </cell>
        </row>
      </sheetData>
      <sheetData sheetId="1" refreshError="1"/>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ginal"/>
      <sheetName val="Sheet1"/>
    </sheetNames>
    <sheetDataSet>
      <sheetData sheetId="0" refreshError="1">
        <row r="82">
          <cell r="N82">
            <v>-5933754.2305000126</v>
          </cell>
        </row>
      </sheetData>
      <sheetData sheetId="1" refreshError="1"/>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ginal"/>
      <sheetName val="Sheet1"/>
    </sheetNames>
    <sheetDataSet>
      <sheetData sheetId="0" refreshError="1">
        <row r="82">
          <cell r="O82">
            <v>33766452.223689988</v>
          </cell>
        </row>
      </sheetData>
      <sheetData sheetId="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ement 1"/>
    </sheetNames>
    <sheetDataSet>
      <sheetData sheetId="0" refreshError="1">
        <row r="114">
          <cell r="N114">
            <v>105679255.27216996</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ement 1"/>
    </sheetNames>
    <sheetDataSet>
      <sheetData sheetId="0" refreshError="1">
        <row r="114">
          <cell r="O114">
            <v>83230717.11586</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ement 1"/>
    </sheetNames>
    <sheetDataSet>
      <sheetData sheetId="0" refreshError="1">
        <row r="114">
          <cell r="P114">
            <v>99218194.778589994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N238"/>
  <sheetViews>
    <sheetView view="pageBreakPreview" topLeftCell="E12" zoomScale="120" zoomScaleNormal="100" zoomScaleSheetLayoutView="120" workbookViewId="0">
      <selection activeCell="Q28" sqref="Q28"/>
    </sheetView>
  </sheetViews>
  <sheetFormatPr defaultColWidth="3" defaultRowHeight="12.75" x14ac:dyDescent="0.25"/>
  <cols>
    <col min="1" max="1" width="0.85546875" style="537" customWidth="1"/>
    <col min="2" max="2" width="1" style="537" customWidth="1"/>
    <col min="3" max="3" width="1.28515625" style="537" customWidth="1"/>
    <col min="4" max="4" width="50.5703125" style="537" customWidth="1"/>
    <col min="5" max="5" width="4.7109375" style="537" customWidth="1"/>
    <col min="6" max="6" width="5.7109375" style="537" customWidth="1"/>
    <col min="7" max="7" width="18.5703125" style="537" customWidth="1"/>
    <col min="8" max="8" width="15.7109375" style="537" customWidth="1"/>
    <col min="9" max="9" width="16.28515625" style="537" customWidth="1"/>
    <col min="10" max="10" width="17.140625" style="537" customWidth="1"/>
    <col min="11" max="13" width="16.28515625" style="537" customWidth="1"/>
    <col min="14" max="14" width="17" style="537" customWidth="1"/>
    <col min="15" max="15" width="16.28515625" style="537" customWidth="1"/>
    <col min="16" max="16" width="17.140625" style="537" customWidth="1"/>
    <col min="17" max="17" width="18.5703125" style="537" customWidth="1"/>
    <col min="18" max="18" width="16.28515625" style="537" hidden="1" customWidth="1"/>
    <col min="19" max="19" width="2.85546875" style="537" hidden="1" customWidth="1"/>
    <col min="20" max="20" width="18.5703125" style="537" customWidth="1"/>
    <col min="21" max="21" width="1.7109375" style="537" customWidth="1"/>
    <col min="22" max="22" width="12.7109375" style="537" customWidth="1"/>
    <col min="23" max="23" width="11.28515625" style="537" bestFit="1" customWidth="1"/>
    <col min="24" max="35" width="8.7109375" style="537" customWidth="1"/>
    <col min="36" max="36" width="10.28515625" style="537" customWidth="1"/>
    <col min="37" max="37" width="9.28515625" style="537" customWidth="1"/>
    <col min="38" max="38" width="7.7109375" style="537" customWidth="1"/>
    <col min="39" max="39" width="7.28515625" style="537" customWidth="1"/>
    <col min="40" max="40" width="3.7109375" style="537" customWidth="1"/>
    <col min="41" max="44" width="3.140625" style="537" customWidth="1"/>
    <col min="45" max="45" width="4" style="537" customWidth="1"/>
    <col min="46" max="46" width="3.28515625" style="537" customWidth="1"/>
    <col min="47" max="49" width="3.140625" style="537" customWidth="1"/>
    <col min="50" max="50" width="9.28515625" style="537" customWidth="1"/>
    <col min="51" max="52" width="3.140625" style="537" customWidth="1"/>
    <col min="53" max="95" width="1.7109375" style="537" customWidth="1"/>
    <col min="96" max="16384" width="3" style="537"/>
  </cols>
  <sheetData>
    <row r="1" spans="2:66" s="534" customFormat="1" hidden="1" x14ac:dyDescent="0.25">
      <c r="B1" s="591" t="s">
        <v>611</v>
      </c>
      <c r="C1" s="592"/>
      <c r="D1" s="592"/>
      <c r="E1" s="592"/>
      <c r="F1" s="592"/>
      <c r="G1" s="592"/>
      <c r="H1" s="592"/>
      <c r="I1" s="592"/>
      <c r="J1" s="592"/>
      <c r="K1" s="592"/>
      <c r="L1" s="592"/>
      <c r="M1" s="592"/>
      <c r="N1" s="592"/>
      <c r="O1" s="592"/>
      <c r="P1" s="592"/>
      <c r="Q1" s="592"/>
      <c r="R1" s="592"/>
      <c r="S1" s="592"/>
      <c r="T1" s="592"/>
      <c r="U1" s="533"/>
    </row>
    <row r="2" spans="2:66" ht="18.75" hidden="1" customHeight="1" thickBot="1" x14ac:dyDescent="0.3">
      <c r="B2" s="593" t="s">
        <v>612</v>
      </c>
      <c r="C2" s="594"/>
      <c r="D2" s="594"/>
      <c r="E2" s="594"/>
      <c r="F2" s="594"/>
      <c r="G2" s="594"/>
      <c r="H2" s="594"/>
      <c r="I2" s="594"/>
      <c r="J2" s="594"/>
      <c r="K2" s="594"/>
      <c r="L2" s="594"/>
      <c r="M2" s="594"/>
      <c r="N2" s="594"/>
      <c r="O2" s="594"/>
      <c r="P2" s="594"/>
      <c r="Q2" s="594"/>
      <c r="R2" s="594"/>
      <c r="S2" s="594"/>
      <c r="T2" s="594"/>
      <c r="U2" s="535"/>
      <c r="V2" s="536"/>
      <c r="W2" s="536"/>
      <c r="X2" s="536"/>
      <c r="Y2" s="536"/>
      <c r="Z2" s="536"/>
      <c r="AA2" s="536"/>
      <c r="AB2" s="536"/>
      <c r="AC2" s="536"/>
      <c r="AD2" s="536"/>
      <c r="AE2" s="536"/>
      <c r="AF2" s="536"/>
      <c r="AG2" s="536"/>
      <c r="AH2" s="536"/>
      <c r="AI2" s="536"/>
      <c r="AJ2" s="536"/>
      <c r="AK2" s="536"/>
      <c r="AL2" s="536"/>
      <c r="AM2" s="536"/>
      <c r="AN2" s="536"/>
      <c r="AO2" s="536"/>
      <c r="AP2" s="536"/>
      <c r="AQ2" s="536"/>
      <c r="AR2" s="536"/>
      <c r="AS2" s="536"/>
      <c r="AT2" s="536"/>
      <c r="AU2" s="536"/>
      <c r="AV2" s="536"/>
      <c r="AW2" s="536"/>
      <c r="AX2" s="536"/>
    </row>
    <row r="3" spans="2:66" ht="15.75" x14ac:dyDescent="0.25">
      <c r="B3" s="185"/>
      <c r="C3" s="182"/>
      <c r="F3" s="538"/>
      <c r="H3" s="539"/>
      <c r="I3" s="539"/>
      <c r="J3" s="539"/>
      <c r="K3" s="539"/>
      <c r="L3" s="539"/>
      <c r="M3" s="539"/>
      <c r="N3" s="539"/>
      <c r="O3" s="539"/>
      <c r="P3" s="539"/>
      <c r="Q3" s="539"/>
      <c r="R3" s="539"/>
      <c r="S3" s="539"/>
      <c r="T3" s="538"/>
    </row>
    <row r="4" spans="2:66" ht="15.75" x14ac:dyDescent="0.25">
      <c r="B4" s="503" t="s">
        <v>613</v>
      </c>
      <c r="C4" s="184"/>
      <c r="D4" s="540"/>
      <c r="E4" s="540"/>
      <c r="F4" s="541"/>
      <c r="G4" s="540"/>
      <c r="H4" s="542"/>
      <c r="I4" s="542"/>
      <c r="J4" s="542"/>
      <c r="K4" s="542"/>
      <c r="L4" s="542"/>
      <c r="M4" s="542"/>
      <c r="N4" s="542"/>
      <c r="O4" s="542"/>
      <c r="P4" s="542"/>
      <c r="Q4" s="542"/>
      <c r="R4" s="542"/>
      <c r="S4" s="542"/>
      <c r="T4" s="541"/>
    </row>
    <row r="5" spans="2:66" s="180" customFormat="1" x14ac:dyDescent="0.2">
      <c r="B5" s="173"/>
      <c r="C5" s="182"/>
      <c r="D5" s="182"/>
      <c r="E5" s="182"/>
      <c r="F5" s="543"/>
      <c r="G5" s="595" t="s">
        <v>1</v>
      </c>
      <c r="H5" s="596"/>
      <c r="I5" s="596"/>
      <c r="J5" s="596"/>
      <c r="K5" s="596"/>
      <c r="L5" s="596"/>
      <c r="M5" s="596"/>
      <c r="N5" s="596"/>
      <c r="O5" s="596"/>
      <c r="P5" s="596"/>
      <c r="Q5" s="596"/>
      <c r="R5" s="596"/>
      <c r="S5" s="596"/>
      <c r="T5" s="597"/>
      <c r="U5" s="171"/>
    </row>
    <row r="6" spans="2:66" s="180" customFormat="1" x14ac:dyDescent="0.2">
      <c r="B6" s="173"/>
      <c r="C6" s="182"/>
      <c r="D6" s="182"/>
      <c r="E6" s="182"/>
      <c r="F6" s="544"/>
      <c r="G6" s="12" t="s">
        <v>3</v>
      </c>
      <c r="H6" s="12" t="s">
        <v>4</v>
      </c>
      <c r="I6" s="15" t="s">
        <v>5</v>
      </c>
      <c r="J6" s="15" t="s">
        <v>6</v>
      </c>
      <c r="K6" s="15" t="s">
        <v>7</v>
      </c>
      <c r="L6" s="15" t="s">
        <v>8</v>
      </c>
      <c r="M6" s="15" t="s">
        <v>9</v>
      </c>
      <c r="N6" s="15" t="s">
        <v>10</v>
      </c>
      <c r="O6" s="15" t="s">
        <v>11</v>
      </c>
      <c r="P6" s="15" t="s">
        <v>12</v>
      </c>
      <c r="Q6" s="15" t="s">
        <v>13</v>
      </c>
      <c r="R6" s="15" t="s">
        <v>14</v>
      </c>
      <c r="S6" s="15" t="s">
        <v>15</v>
      </c>
      <c r="T6" s="16" t="s">
        <v>16</v>
      </c>
      <c r="U6" s="171"/>
      <c r="W6" s="182"/>
      <c r="X6" s="182"/>
      <c r="Y6" s="182"/>
      <c r="Z6" s="182"/>
      <c r="AA6" s="182"/>
      <c r="AB6" s="182"/>
      <c r="AC6" s="182"/>
      <c r="AD6" s="182"/>
      <c r="AE6" s="182"/>
      <c r="AF6" s="182"/>
      <c r="AG6" s="182"/>
      <c r="AH6" s="182"/>
      <c r="AI6" s="182"/>
      <c r="AJ6" s="182"/>
      <c r="AK6" s="182"/>
      <c r="AL6" s="182"/>
      <c r="AM6" s="182"/>
      <c r="AN6" s="182"/>
      <c r="AO6" s="182"/>
      <c r="AP6" s="182"/>
      <c r="AQ6" s="182"/>
      <c r="AR6" s="182"/>
      <c r="AS6" s="182"/>
      <c r="AT6" s="182"/>
      <c r="AU6" s="182"/>
      <c r="AV6" s="182"/>
      <c r="AW6" s="182"/>
      <c r="AX6" s="182"/>
    </row>
    <row r="7" spans="2:66" s="180" customFormat="1" x14ac:dyDescent="0.2">
      <c r="B7" s="455" t="s">
        <v>17</v>
      </c>
      <c r="C7" s="193"/>
      <c r="D7" s="193"/>
      <c r="E7" s="193"/>
      <c r="F7" s="396" t="s">
        <v>290</v>
      </c>
      <c r="G7" s="545" t="s">
        <v>18</v>
      </c>
      <c r="H7" s="545"/>
      <c r="I7" s="28"/>
      <c r="J7" s="28"/>
      <c r="K7" s="28"/>
      <c r="L7" s="28"/>
      <c r="M7" s="28"/>
      <c r="N7" s="28"/>
      <c r="O7" s="28"/>
      <c r="P7" s="28"/>
      <c r="Q7" s="28"/>
      <c r="R7" s="28"/>
      <c r="S7" s="28"/>
      <c r="T7" s="196"/>
      <c r="U7" s="171"/>
      <c r="W7" s="182"/>
      <c r="X7" s="182"/>
      <c r="Y7" s="182"/>
      <c r="Z7" s="182"/>
      <c r="AA7" s="182"/>
      <c r="AB7" s="182"/>
      <c r="AC7" s="182"/>
      <c r="AD7" s="182"/>
      <c r="AE7" s="182"/>
      <c r="AF7" s="182"/>
      <c r="AG7" s="182"/>
      <c r="AH7" s="182"/>
      <c r="AI7" s="182"/>
      <c r="AJ7" s="182"/>
      <c r="AK7" s="182"/>
      <c r="AL7" s="182"/>
      <c r="AM7" s="182"/>
      <c r="AN7" s="182"/>
      <c r="AO7" s="182"/>
      <c r="AP7" s="182"/>
      <c r="AQ7" s="182"/>
      <c r="AR7" s="182"/>
      <c r="AS7" s="182"/>
      <c r="AT7" s="182"/>
      <c r="AU7" s="182"/>
      <c r="AV7" s="182"/>
      <c r="AW7" s="182"/>
      <c r="AX7" s="182"/>
    </row>
    <row r="8" spans="2:66" s="180" customFormat="1" ht="13.5" thickBot="1" x14ac:dyDescent="0.25">
      <c r="B8" s="546"/>
      <c r="C8" s="547"/>
      <c r="D8" s="547"/>
      <c r="E8" s="547"/>
      <c r="F8" s="548"/>
      <c r="G8" s="549"/>
      <c r="H8" s="23"/>
      <c r="I8" s="23"/>
      <c r="J8" s="23"/>
      <c r="K8" s="23"/>
      <c r="L8" s="23"/>
      <c r="M8" s="550"/>
      <c r="N8" s="550"/>
      <c r="O8" s="550"/>
      <c r="P8" s="550"/>
      <c r="Q8" s="550"/>
      <c r="R8" s="550"/>
      <c r="S8" s="550"/>
      <c r="T8" s="551"/>
      <c r="U8" s="171"/>
      <c r="V8" s="1"/>
      <c r="W8" s="598"/>
      <c r="X8" s="598"/>
      <c r="Y8" s="598"/>
      <c r="Z8" s="598"/>
      <c r="AA8" s="598"/>
      <c r="AB8" s="598"/>
      <c r="AC8" s="598"/>
      <c r="AD8" s="598"/>
      <c r="AE8" s="598"/>
      <c r="AF8" s="598"/>
      <c r="AG8" s="598"/>
      <c r="AH8" s="598"/>
      <c r="AI8" s="598"/>
      <c r="AJ8" s="598"/>
      <c r="AL8" s="598"/>
      <c r="AM8" s="598"/>
      <c r="AN8" s="598"/>
      <c r="AO8" s="598"/>
    </row>
    <row r="9" spans="2:66" s="180" customFormat="1" ht="13.5" thickBot="1" x14ac:dyDescent="0.25">
      <c r="B9" s="173" t="s">
        <v>614</v>
      </c>
      <c r="C9" s="182"/>
      <c r="F9" s="544">
        <v>1</v>
      </c>
      <c r="G9" s="23">
        <f>+'[1]Statement 1'!$H$114</f>
        <v>1097931728.3315389</v>
      </c>
      <c r="H9" s="23">
        <f>+'[2]Statement 1'!$U$114</f>
        <v>63095740.380769998</v>
      </c>
      <c r="I9" s="24">
        <f>+'[3]Statement 1'!$J$114</f>
        <v>68106446.022430018</v>
      </c>
      <c r="J9" s="24">
        <f>+'[4]Statement 1'!$K$114</f>
        <v>108554101.37664002</v>
      </c>
      <c r="K9" s="24">
        <f>+'[5]Statement 1'!$L$114</f>
        <v>62846312.960169993</v>
      </c>
      <c r="L9" s="24">
        <f>+'[6]Statement 1'!$M$114</f>
        <v>101855148.66649999</v>
      </c>
      <c r="M9" s="24">
        <f>+'[7]Statement 1'!$N$114</f>
        <v>105679255.27216996</v>
      </c>
      <c r="N9" s="24">
        <f>+'[8]Statement 1'!$O$114</f>
        <v>83230717.11586</v>
      </c>
      <c r="O9" s="24">
        <f>+'[9]Statement 1'!$P$114</f>
        <v>99218194.778589994</v>
      </c>
      <c r="P9" s="24">
        <f>+'[10]Statement 1'!$Q$114</f>
        <v>176370693.76949999</v>
      </c>
      <c r="Q9" s="24">
        <f>+'[11]Statement 1'!$R$114</f>
        <v>87476541.460689977</v>
      </c>
      <c r="R9" s="24"/>
      <c r="S9" s="24"/>
      <c r="T9" s="47">
        <f>SUM(H9:S9)</f>
        <v>956433151.80331993</v>
      </c>
      <c r="U9" s="461"/>
      <c r="V9" s="43"/>
      <c r="W9" s="552"/>
      <c r="X9" s="553"/>
      <c r="Y9" s="553"/>
      <c r="Z9" s="553"/>
      <c r="AA9" s="553"/>
      <c r="AB9" s="553"/>
      <c r="AC9" s="553"/>
      <c r="AD9" s="553"/>
      <c r="AE9" s="553"/>
      <c r="AF9" s="553"/>
      <c r="AG9" s="553"/>
      <c r="AH9" s="553"/>
      <c r="AI9" s="553"/>
      <c r="AJ9" s="554"/>
      <c r="AK9" s="188"/>
      <c r="AL9" s="188"/>
      <c r="AM9" s="188"/>
      <c r="AN9" s="188"/>
      <c r="AO9" s="188"/>
      <c r="AP9" s="188"/>
      <c r="AQ9" s="188"/>
      <c r="AR9" s="188"/>
      <c r="AS9" s="188"/>
      <c r="AT9" s="188"/>
      <c r="AU9" s="188"/>
      <c r="AV9" s="188"/>
      <c r="AW9" s="188"/>
      <c r="AX9" s="188"/>
      <c r="AY9" s="188"/>
      <c r="BA9" s="188"/>
      <c r="BB9" s="188"/>
      <c r="BC9" s="188"/>
      <c r="BD9" s="188"/>
      <c r="BE9" s="188"/>
      <c r="BF9" s="188"/>
      <c r="BG9" s="188"/>
      <c r="BH9" s="188"/>
      <c r="BI9" s="188"/>
      <c r="BJ9" s="188"/>
      <c r="BK9" s="188"/>
      <c r="BL9" s="188"/>
      <c r="BM9" s="188"/>
      <c r="BN9" s="188"/>
    </row>
    <row r="10" spans="2:66" s="180" customFormat="1" x14ac:dyDescent="0.2">
      <c r="B10" s="171"/>
      <c r="F10" s="458"/>
      <c r="G10" s="125"/>
      <c r="H10" s="555"/>
      <c r="I10" s="556"/>
      <c r="J10" s="556"/>
      <c r="K10" s="556"/>
      <c r="L10" s="556"/>
      <c r="M10" s="556"/>
      <c r="N10" s="556"/>
      <c r="O10" s="556"/>
      <c r="P10" s="556"/>
      <c r="Q10" s="556"/>
      <c r="R10" s="556"/>
      <c r="S10" s="556"/>
      <c r="T10" s="476"/>
      <c r="U10" s="461"/>
      <c r="V10" s="43"/>
      <c r="W10" s="449"/>
      <c r="X10" s="449"/>
      <c r="Y10" s="449"/>
      <c r="Z10" s="449"/>
      <c r="AA10" s="449"/>
      <c r="AB10" s="449"/>
      <c r="AC10" s="449"/>
      <c r="AD10" s="449"/>
      <c r="AE10" s="449"/>
      <c r="AF10" s="449"/>
      <c r="AG10" s="449"/>
      <c r="AH10" s="449"/>
      <c r="AI10" s="449"/>
      <c r="AJ10" s="449"/>
      <c r="AK10" s="449"/>
      <c r="AL10" s="449"/>
      <c r="AM10" s="449"/>
      <c r="AN10" s="449"/>
      <c r="AO10" s="449"/>
      <c r="AP10" s="449"/>
      <c r="AQ10" s="449"/>
      <c r="AR10" s="449"/>
      <c r="AS10" s="449"/>
      <c r="AT10" s="449"/>
      <c r="AU10" s="449"/>
      <c r="AV10" s="449"/>
      <c r="AW10" s="449"/>
      <c r="AX10" s="449"/>
    </row>
    <row r="11" spans="2:66" s="180" customFormat="1" x14ac:dyDescent="0.2">
      <c r="B11" s="173" t="s">
        <v>615</v>
      </c>
      <c r="C11" s="182"/>
      <c r="F11" s="544">
        <v>2</v>
      </c>
      <c r="G11" s="23">
        <f>+G13+G15+G32</f>
        <v>1805758440</v>
      </c>
      <c r="H11" s="23">
        <f t="shared" ref="H11:T11" si="0">+H13+H15+H32</f>
        <v>114252197.427</v>
      </c>
      <c r="I11" s="23">
        <f t="shared" si="0"/>
        <v>120475526.13</v>
      </c>
      <c r="J11" s="23">
        <f t="shared" si="0"/>
        <v>130850284</v>
      </c>
      <c r="K11" s="23">
        <f t="shared" si="0"/>
        <v>197375961</v>
      </c>
      <c r="L11" s="23">
        <f t="shared" si="0"/>
        <v>165528942.123</v>
      </c>
      <c r="M11" s="23">
        <f t="shared" si="0"/>
        <v>148546057.243</v>
      </c>
      <c r="N11" s="23">
        <f t="shared" si="0"/>
        <v>132959844.963</v>
      </c>
      <c r="O11" s="23">
        <f t="shared" si="0"/>
        <v>120621480.005</v>
      </c>
      <c r="P11" s="23">
        <f t="shared" si="0"/>
        <v>171319375</v>
      </c>
      <c r="Q11" s="23">
        <f t="shared" si="0"/>
        <v>163711820.23699999</v>
      </c>
      <c r="R11" s="23">
        <f t="shared" si="0"/>
        <v>0</v>
      </c>
      <c r="S11" s="23">
        <f t="shared" si="0"/>
        <v>0</v>
      </c>
      <c r="T11" s="23">
        <f t="shared" si="0"/>
        <v>1465641489.128</v>
      </c>
      <c r="U11" s="461"/>
      <c r="V11" s="449"/>
      <c r="W11" s="19"/>
      <c r="X11" s="19"/>
      <c r="Y11" s="19"/>
      <c r="Z11" s="19"/>
      <c r="AA11" s="19"/>
      <c r="AB11" s="19"/>
      <c r="AC11" s="19"/>
      <c r="AD11" s="19"/>
      <c r="AE11" s="19"/>
      <c r="AF11" s="19"/>
      <c r="AG11" s="19"/>
      <c r="AH11" s="19"/>
      <c r="AI11" s="19"/>
      <c r="AJ11" s="19"/>
      <c r="AK11" s="449"/>
      <c r="AL11" s="449"/>
      <c r="AM11" s="449"/>
      <c r="AN11" s="449"/>
      <c r="AO11" s="449"/>
      <c r="AP11" s="449"/>
      <c r="AQ11" s="449"/>
      <c r="AR11" s="449"/>
      <c r="AS11" s="449"/>
      <c r="AT11" s="449"/>
      <c r="AU11" s="449"/>
      <c r="AV11" s="449"/>
      <c r="AW11" s="449"/>
      <c r="AX11" s="449"/>
    </row>
    <row r="12" spans="2:66" s="180" customFormat="1" x14ac:dyDescent="0.2">
      <c r="B12" s="173"/>
      <c r="C12" s="182"/>
      <c r="F12" s="544"/>
      <c r="G12" s="23"/>
      <c r="H12" s="23"/>
      <c r="I12" s="24"/>
      <c r="J12" s="24"/>
      <c r="K12" s="24"/>
      <c r="L12" s="24"/>
      <c r="M12" s="24"/>
      <c r="N12" s="24"/>
      <c r="O12" s="24"/>
      <c r="P12" s="24"/>
      <c r="Q12" s="24"/>
      <c r="R12" s="24"/>
      <c r="S12" s="24"/>
      <c r="T12" s="24"/>
      <c r="U12" s="461"/>
      <c r="V12" s="449"/>
      <c r="W12" s="188"/>
      <c r="X12" s="188"/>
      <c r="Y12" s="188"/>
      <c r="Z12" s="188"/>
      <c r="AA12" s="188"/>
      <c r="AB12" s="188"/>
      <c r="AC12" s="188"/>
      <c r="AD12" s="188"/>
      <c r="AE12" s="188"/>
      <c r="AF12" s="188"/>
      <c r="AG12" s="188"/>
      <c r="AH12" s="188"/>
      <c r="AI12" s="188"/>
      <c r="AJ12" s="188"/>
      <c r="AK12" s="449"/>
      <c r="AL12" s="449"/>
      <c r="AM12" s="449"/>
      <c r="AN12" s="449"/>
      <c r="AO12" s="449"/>
      <c r="AP12" s="449"/>
      <c r="AQ12" s="449"/>
      <c r="AR12" s="449"/>
      <c r="AS12" s="449"/>
      <c r="AT12" s="449"/>
      <c r="AU12" s="449"/>
      <c r="AV12" s="449"/>
      <c r="AW12" s="449"/>
      <c r="AX12" s="449"/>
    </row>
    <row r="13" spans="2:66" s="180" customFormat="1" x14ac:dyDescent="0.2">
      <c r="B13" s="557"/>
      <c r="C13" s="182" t="s">
        <v>616</v>
      </c>
      <c r="F13" s="544">
        <v>2</v>
      </c>
      <c r="G13" s="57">
        <f>+'[12]20-21'!$I$48</f>
        <v>1025349737</v>
      </c>
      <c r="H13" s="57">
        <f>+'[13]20-21'!$N$48</f>
        <v>63165298</v>
      </c>
      <c r="I13" s="47">
        <f>+'[14]20-21'!$S$48</f>
        <v>71995377</v>
      </c>
      <c r="J13" s="47">
        <f>+'[15]20-21'!$X$48</f>
        <v>61212482</v>
      </c>
      <c r="K13" s="47">
        <f>+'[16]20-21'!$AC$48</f>
        <v>118355901</v>
      </c>
      <c r="L13" s="47">
        <f>+'[17]20-21'!$AH$48</f>
        <v>82985001</v>
      </c>
      <c r="M13" s="47">
        <f>+'[18]20-21'!$AM$48</f>
        <v>75682961</v>
      </c>
      <c r="N13" s="47">
        <f>+'[19]20-21'!$AR$48</f>
        <v>84022361</v>
      </c>
      <c r="O13" s="47">
        <f>+'[20]20-21'!$AW$48</f>
        <v>71737880</v>
      </c>
      <c r="P13" s="47">
        <f>+'[12]20-21'!$BB$48</f>
        <v>103042121</v>
      </c>
      <c r="Q13" s="47">
        <f>+'[21]20-21'!$BG$48</f>
        <v>89092970</v>
      </c>
      <c r="R13" s="47"/>
      <c r="S13" s="47"/>
      <c r="T13" s="47">
        <f>SUM(H13:S13)</f>
        <v>821292352</v>
      </c>
      <c r="U13" s="461"/>
      <c r="V13" s="449"/>
      <c r="W13" s="19"/>
      <c r="X13" s="19"/>
      <c r="Y13" s="19"/>
      <c r="Z13" s="19"/>
      <c r="AA13" s="19"/>
      <c r="AB13" s="19"/>
      <c r="AC13" s="19"/>
      <c r="AD13" s="19"/>
      <c r="AE13" s="19"/>
      <c r="AF13" s="19"/>
      <c r="AG13" s="19"/>
      <c r="AH13" s="19"/>
      <c r="AI13" s="19"/>
      <c r="AJ13" s="19"/>
      <c r="AK13" s="449"/>
      <c r="AL13" s="449"/>
      <c r="AM13" s="449"/>
      <c r="AN13" s="449"/>
      <c r="AO13" s="449"/>
      <c r="AP13" s="449"/>
      <c r="AQ13" s="449"/>
      <c r="AR13" s="449"/>
      <c r="AS13" s="449"/>
      <c r="AT13" s="449"/>
      <c r="AU13" s="449"/>
      <c r="AV13" s="449"/>
      <c r="AW13" s="449"/>
      <c r="AX13" s="449"/>
    </row>
    <row r="14" spans="2:66" s="180" customFormat="1" x14ac:dyDescent="0.2">
      <c r="B14" s="173"/>
      <c r="C14" s="182"/>
      <c r="F14" s="544"/>
      <c r="G14" s="23"/>
      <c r="H14" s="23"/>
      <c r="I14" s="24"/>
      <c r="J14" s="24"/>
      <c r="K14" s="24"/>
      <c r="L14" s="24"/>
      <c r="M14" s="24"/>
      <c r="N14" s="24"/>
      <c r="O14" s="24"/>
      <c r="P14" s="24"/>
      <c r="Q14" s="24"/>
      <c r="R14" s="24"/>
      <c r="S14" s="24"/>
      <c r="T14" s="24"/>
      <c r="U14" s="461"/>
      <c r="V14" s="449"/>
      <c r="W14" s="449"/>
      <c r="X14" s="449"/>
      <c r="Y14" s="449"/>
      <c r="Z14" s="449"/>
      <c r="AA14" s="449"/>
      <c r="AB14" s="449"/>
      <c r="AC14" s="449"/>
      <c r="AD14" s="449"/>
      <c r="AE14" s="449"/>
      <c r="AF14" s="449"/>
      <c r="AG14" s="449"/>
      <c r="AH14" s="449"/>
      <c r="AI14" s="449"/>
      <c r="AJ14" s="449"/>
      <c r="AK14" s="449"/>
      <c r="AL14" s="449"/>
      <c r="AM14" s="449"/>
      <c r="AN14" s="449"/>
      <c r="AO14" s="449"/>
      <c r="AP14" s="449"/>
      <c r="AQ14" s="449"/>
      <c r="AR14" s="449"/>
      <c r="AS14" s="449"/>
      <c r="AT14" s="449"/>
      <c r="AU14" s="449"/>
      <c r="AV14" s="449"/>
      <c r="AW14" s="449"/>
      <c r="AX14" s="449"/>
    </row>
    <row r="15" spans="2:66" s="180" customFormat="1" x14ac:dyDescent="0.2">
      <c r="B15" s="557"/>
      <c r="C15" s="182" t="s">
        <v>228</v>
      </c>
      <c r="F15" s="544">
        <v>2</v>
      </c>
      <c r="G15" s="57">
        <f>SUM(G16:G30)-G21</f>
        <v>782517261</v>
      </c>
      <c r="H15" s="57">
        <f>SUM(H16:H30)</f>
        <v>51086899.427000001</v>
      </c>
      <c r="I15" s="57">
        <f>SUM(I16:I30)</f>
        <v>48480149.130000003</v>
      </c>
      <c r="J15" s="57">
        <f>SUM(J16:J30)</f>
        <v>69637802</v>
      </c>
      <c r="K15" s="57">
        <f>SUM(K16:K30)</f>
        <v>79020060</v>
      </c>
      <c r="L15" s="57">
        <f>SUM(L16:L30)</f>
        <v>82543941.122999996</v>
      </c>
      <c r="M15" s="57">
        <f>SUM(M16:M30)-M21-M24</f>
        <v>72863096.243000001</v>
      </c>
      <c r="N15" s="57">
        <f>SUM(N16:N30)-N21-N24</f>
        <v>48937483.963</v>
      </c>
      <c r="O15" s="57">
        <f>SUM(O16:O30)-O21-O24</f>
        <v>48883600.005000003</v>
      </c>
      <c r="P15" s="57">
        <f>SUM(P16:P30)-P21-P24</f>
        <v>68277254</v>
      </c>
      <c r="Q15" s="57">
        <f>SUM(Q16:Q30)-Q21-Q24</f>
        <v>74618850.236999989</v>
      </c>
      <c r="R15" s="57"/>
      <c r="S15" s="57"/>
      <c r="T15" s="50">
        <f>SUM(T16:T30)-T21-T24</f>
        <v>644349137.12800002</v>
      </c>
      <c r="U15" s="48">
        <f t="shared" ref="U15" si="1">SUM(U16:U30)-U24</f>
        <v>0</v>
      </c>
      <c r="V15" s="449"/>
      <c r="W15" s="19"/>
      <c r="X15" s="19"/>
      <c r="Y15" s="19"/>
      <c r="Z15" s="19"/>
      <c r="AA15" s="19"/>
      <c r="AB15" s="19"/>
      <c r="AC15" s="19"/>
      <c r="AD15" s="19"/>
      <c r="AE15" s="19"/>
      <c r="AF15" s="19"/>
      <c r="AG15" s="19"/>
      <c r="AH15" s="19"/>
      <c r="AI15" s="19"/>
      <c r="AJ15" s="19"/>
      <c r="AK15" s="449"/>
      <c r="AL15" s="449"/>
      <c r="AM15" s="449"/>
      <c r="AN15" s="449"/>
      <c r="AO15" s="449"/>
      <c r="AP15" s="449"/>
      <c r="AQ15" s="449"/>
      <c r="AR15" s="449"/>
      <c r="AS15" s="449"/>
      <c r="AT15" s="449"/>
      <c r="AU15" s="449"/>
      <c r="AV15" s="449"/>
      <c r="AW15" s="449"/>
      <c r="AX15" s="449"/>
    </row>
    <row r="16" spans="2:66" s="180" customFormat="1" x14ac:dyDescent="0.2">
      <c r="B16" s="557"/>
      <c r="C16" s="182"/>
      <c r="D16" s="233" t="s">
        <v>517</v>
      </c>
      <c r="E16" s="233"/>
      <c r="F16" s="558"/>
      <c r="G16" s="75">
        <f>+'[12]20-21'!$I$53</f>
        <v>233027798</v>
      </c>
      <c r="H16" s="75">
        <f>+'[13]20-21'!$N$53</f>
        <v>4156462.4270000001</v>
      </c>
      <c r="I16" s="76">
        <f>+'[14]20-21'!$S$53</f>
        <v>1746959.1300000001</v>
      </c>
      <c r="J16" s="76">
        <f>+'[15]20-21'!$X$53</f>
        <v>23287136</v>
      </c>
      <c r="K16" s="76">
        <f>+'[16]20-21'!$AC$53</f>
        <v>33793248</v>
      </c>
      <c r="L16" s="76">
        <f>+'[17]20-21'!$AH$53</f>
        <v>32588390.123</v>
      </c>
      <c r="M16" s="76">
        <f>+'[18]20-21'!$AM$53</f>
        <v>20719704.243000001</v>
      </c>
      <c r="N16" s="76">
        <f>+'[19]20-21'!$AR$53</f>
        <v>3593963.963</v>
      </c>
      <c r="O16" s="76">
        <f>+'[20]20-21'!$AW$53</f>
        <v>2242145.0050000004</v>
      </c>
      <c r="P16" s="76">
        <f>+'[12]20-21'!$BB$53</f>
        <v>23505078</v>
      </c>
      <c r="Q16" s="76">
        <f>+'[21]20-21'!$BG$53</f>
        <v>33703384.236999996</v>
      </c>
      <c r="R16" s="76"/>
      <c r="S16" s="76"/>
      <c r="T16" s="76">
        <f>SUM(H16:S16)+1</f>
        <v>179336472.12799996</v>
      </c>
      <c r="U16" s="461"/>
      <c r="V16" s="449"/>
      <c r="W16" s="449"/>
      <c r="X16" s="449"/>
      <c r="Y16" s="449"/>
      <c r="Z16" s="449"/>
      <c r="AA16" s="449"/>
      <c r="AB16" s="449"/>
      <c r="AC16" s="449"/>
      <c r="AD16" s="449"/>
      <c r="AE16" s="449"/>
      <c r="AF16" s="449"/>
      <c r="AG16" s="449"/>
      <c r="AH16" s="449"/>
      <c r="AI16" s="449"/>
      <c r="AJ16" s="449"/>
      <c r="AK16" s="449"/>
      <c r="AL16" s="449"/>
      <c r="AM16" s="449"/>
      <c r="AN16" s="449"/>
      <c r="AO16" s="449"/>
      <c r="AP16" s="449"/>
      <c r="AQ16" s="449"/>
      <c r="AR16" s="449"/>
      <c r="AS16" s="449"/>
      <c r="AT16" s="449"/>
      <c r="AU16" s="449"/>
      <c r="AV16" s="449"/>
      <c r="AW16" s="449"/>
      <c r="AX16" s="449"/>
    </row>
    <row r="17" spans="2:50" s="180" customFormat="1" x14ac:dyDescent="0.2">
      <c r="B17" s="557"/>
      <c r="C17" s="182"/>
      <c r="D17" s="233" t="s">
        <v>518</v>
      </c>
      <c r="E17" s="233"/>
      <c r="F17" s="544"/>
      <c r="G17" s="75">
        <f>+'[12]20-21'!$I$56</f>
        <v>520717021</v>
      </c>
      <c r="H17" s="75">
        <f>+'[13]20-21'!$N$56</f>
        <v>44872627</v>
      </c>
      <c r="I17" s="76">
        <f>+'[14]20-21'!$S$56</f>
        <v>44872627</v>
      </c>
      <c r="J17" s="76">
        <f>+'[15]20-21'!$X$56</f>
        <v>44872627</v>
      </c>
      <c r="K17" s="76">
        <f>+'[16]20-21'!$AC$56</f>
        <v>44872627</v>
      </c>
      <c r="L17" s="76">
        <f>+'[17]20-21'!$AH$56</f>
        <v>44872627</v>
      </c>
      <c r="M17" s="76">
        <f>+'[18]20-21'!$AM$56</f>
        <v>44872627</v>
      </c>
      <c r="N17" s="76">
        <f>+'[19]20-21'!$AR$56</f>
        <v>44872627</v>
      </c>
      <c r="O17" s="76">
        <f>+'[20]20-21'!$AW$56</f>
        <v>44872626</v>
      </c>
      <c r="P17" s="76">
        <f>+'[12]20-21'!$BB$56</f>
        <v>44872625</v>
      </c>
      <c r="Q17" s="76">
        <f>+'[21]20-21'!$BG$56</f>
        <v>38954457</v>
      </c>
      <c r="R17" s="76"/>
      <c r="S17" s="76"/>
      <c r="T17" s="76">
        <f t="shared" ref="T17:T23" si="2">SUM(H17:S17)</f>
        <v>442808097</v>
      </c>
      <c r="U17" s="461"/>
      <c r="V17" s="449"/>
      <c r="W17" s="449"/>
      <c r="X17" s="449"/>
      <c r="Y17" s="449"/>
      <c r="Z17" s="449"/>
      <c r="AA17" s="449"/>
      <c r="AB17" s="449"/>
      <c r="AC17" s="449"/>
      <c r="AD17" s="449"/>
      <c r="AE17" s="449"/>
      <c r="AF17" s="449"/>
      <c r="AG17" s="449"/>
      <c r="AH17" s="449"/>
      <c r="AI17" s="449"/>
      <c r="AJ17" s="449"/>
      <c r="AK17" s="449"/>
      <c r="AL17" s="449"/>
      <c r="AM17" s="449"/>
      <c r="AN17" s="449"/>
      <c r="AO17" s="449"/>
      <c r="AP17" s="449"/>
      <c r="AQ17" s="449"/>
      <c r="AR17" s="449"/>
      <c r="AS17" s="449"/>
      <c r="AT17" s="449"/>
      <c r="AU17" s="449"/>
      <c r="AV17" s="449"/>
      <c r="AW17" s="449"/>
      <c r="AX17" s="449"/>
    </row>
    <row r="18" spans="2:50" s="180" customFormat="1" x14ac:dyDescent="0.2">
      <c r="B18" s="557"/>
      <c r="C18" s="182"/>
      <c r="D18" s="233" t="s">
        <v>519</v>
      </c>
      <c r="E18" s="233"/>
      <c r="F18" s="544"/>
      <c r="G18" s="75">
        <f>+'[12]20-21'!$I$57</f>
        <v>14026878</v>
      </c>
      <c r="H18" s="75">
        <f>+'[13]20-21'!$N$57</f>
        <v>0</v>
      </c>
      <c r="I18" s="76">
        <f>+'[14]20-21'!$S$57</f>
        <v>0</v>
      </c>
      <c r="J18" s="76">
        <f>+'[15]20-21'!$X$57</f>
        <v>0</v>
      </c>
      <c r="K18" s="76">
        <f>+'[16]20-21'!$AC$57</f>
        <v>0</v>
      </c>
      <c r="L18" s="76">
        <f>+'[17]20-21'!$AH$57</f>
        <v>4675628</v>
      </c>
      <c r="M18" s="76">
        <f>+'[18]20-21'!$AM$57</f>
        <v>0</v>
      </c>
      <c r="N18" s="76">
        <f>+'[19]20-21'!$AR$57</f>
        <v>0</v>
      </c>
      <c r="O18" s="76">
        <f>+'[20]20-21'!$AW$57</f>
        <v>0</v>
      </c>
      <c r="P18" s="76">
        <f>+'[12]20-21'!$BB$57</f>
        <v>4675628</v>
      </c>
      <c r="Q18" s="76">
        <v>0</v>
      </c>
      <c r="R18" s="76"/>
      <c r="S18" s="76"/>
      <c r="T18" s="76">
        <f t="shared" si="2"/>
        <v>9351256</v>
      </c>
      <c r="U18" s="461"/>
      <c r="V18" s="449"/>
      <c r="W18" s="449"/>
      <c r="X18" s="449"/>
      <c r="Y18" s="449"/>
      <c r="Z18" s="449"/>
      <c r="AA18" s="449"/>
      <c r="AB18" s="449"/>
      <c r="AC18" s="449"/>
      <c r="AD18" s="449"/>
      <c r="AE18" s="449"/>
      <c r="AF18" s="449"/>
      <c r="AG18" s="449"/>
      <c r="AH18" s="449"/>
      <c r="AI18" s="449"/>
      <c r="AJ18" s="449"/>
      <c r="AK18" s="449"/>
      <c r="AL18" s="449"/>
      <c r="AM18" s="449"/>
      <c r="AN18" s="449"/>
      <c r="AO18" s="449"/>
      <c r="AP18" s="449"/>
      <c r="AQ18" s="449"/>
      <c r="AR18" s="449"/>
      <c r="AS18" s="449"/>
      <c r="AT18" s="449"/>
      <c r="AU18" s="449"/>
      <c r="AV18" s="449"/>
      <c r="AW18" s="449"/>
      <c r="AX18" s="449"/>
    </row>
    <row r="19" spans="2:50" s="180" customFormat="1" x14ac:dyDescent="0.2">
      <c r="B19" s="557"/>
      <c r="C19" s="182"/>
      <c r="D19" s="233" t="str">
        <f>+'[18]20-21'!$A$60</f>
        <v>Other payments</v>
      </c>
      <c r="E19" s="233"/>
      <c r="F19" s="544"/>
      <c r="G19" s="75"/>
      <c r="H19" s="75"/>
      <c r="I19" s="76"/>
      <c r="J19" s="76"/>
      <c r="K19" s="76"/>
      <c r="L19" s="76"/>
      <c r="M19" s="76"/>
      <c r="N19" s="76"/>
      <c r="O19" s="76"/>
      <c r="P19" s="76"/>
      <c r="Q19" s="76"/>
      <c r="R19" s="76"/>
      <c r="S19" s="76"/>
      <c r="T19" s="76"/>
      <c r="U19" s="461"/>
      <c r="V19" s="449"/>
      <c r="W19" s="449"/>
      <c r="X19" s="449"/>
      <c r="Y19" s="449"/>
      <c r="Z19" s="449"/>
      <c r="AA19" s="449"/>
      <c r="AB19" s="449"/>
      <c r="AC19" s="449"/>
      <c r="AD19" s="449"/>
      <c r="AE19" s="449"/>
      <c r="AF19" s="449"/>
      <c r="AG19" s="449"/>
      <c r="AH19" s="449"/>
      <c r="AI19" s="449"/>
      <c r="AJ19" s="449"/>
      <c r="AK19" s="449"/>
      <c r="AL19" s="449"/>
      <c r="AM19" s="449"/>
      <c r="AN19" s="449"/>
      <c r="AO19" s="449"/>
      <c r="AP19" s="449"/>
      <c r="AQ19" s="449"/>
      <c r="AR19" s="449"/>
      <c r="AS19" s="449"/>
      <c r="AT19" s="449"/>
      <c r="AU19" s="449"/>
      <c r="AV19" s="449"/>
      <c r="AW19" s="449"/>
      <c r="AX19" s="449"/>
    </row>
    <row r="20" spans="2:50" s="180" customFormat="1" hidden="1" x14ac:dyDescent="0.2">
      <c r="B20" s="557"/>
      <c r="C20" s="182"/>
      <c r="D20" s="233" t="str">
        <f>+'[22]19-20'!$A$58</f>
        <v>Eskom - payment in terms of Section 16(1) of the PFMA</v>
      </c>
      <c r="E20" s="233"/>
      <c r="F20" s="544"/>
      <c r="G20" s="75"/>
      <c r="H20" s="75"/>
      <c r="I20" s="76"/>
      <c r="J20" s="76"/>
      <c r="K20" s="76"/>
      <c r="L20" s="76"/>
      <c r="M20" s="76"/>
      <c r="N20" s="76"/>
      <c r="O20" s="76"/>
      <c r="P20" s="76"/>
      <c r="Q20" s="76"/>
      <c r="R20" s="76"/>
      <c r="S20" s="76"/>
      <c r="T20" s="76"/>
      <c r="U20" s="461"/>
      <c r="V20" s="449"/>
      <c r="W20" s="449"/>
      <c r="X20" s="449"/>
      <c r="Y20" s="449"/>
      <c r="Z20" s="449"/>
      <c r="AA20" s="449"/>
      <c r="AB20" s="449"/>
      <c r="AC20" s="449"/>
      <c r="AD20" s="449"/>
      <c r="AE20" s="449"/>
      <c r="AF20" s="449"/>
      <c r="AG20" s="449"/>
      <c r="AH20" s="449"/>
      <c r="AI20" s="449"/>
      <c r="AJ20" s="449"/>
      <c r="AK20" s="449"/>
      <c r="AL20" s="449"/>
      <c r="AM20" s="449"/>
      <c r="AN20" s="449"/>
      <c r="AO20" s="449"/>
      <c r="AP20" s="449"/>
      <c r="AQ20" s="449"/>
      <c r="AR20" s="449"/>
      <c r="AS20" s="449"/>
      <c r="AT20" s="449"/>
      <c r="AU20" s="449"/>
      <c r="AV20" s="449"/>
      <c r="AW20" s="449"/>
      <c r="AX20" s="449"/>
    </row>
    <row r="21" spans="2:50" s="474" customFormat="1" x14ac:dyDescent="0.2">
      <c r="B21" s="559"/>
      <c r="C21" s="560"/>
      <c r="D21" s="561" t="s">
        <v>617</v>
      </c>
      <c r="F21" s="562"/>
      <c r="G21" s="563">
        <f>SUM(G22:G23)</f>
        <v>217761</v>
      </c>
      <c r="H21" s="563">
        <f t="shared" ref="H21:T21" si="3">SUM(H22:H23)</f>
        <v>0</v>
      </c>
      <c r="I21" s="563">
        <f t="shared" si="3"/>
        <v>0</v>
      </c>
      <c r="J21" s="563">
        <f t="shared" si="3"/>
        <v>0</v>
      </c>
      <c r="K21" s="563">
        <f t="shared" si="3"/>
        <v>0</v>
      </c>
      <c r="L21" s="563">
        <f t="shared" si="3"/>
        <v>0</v>
      </c>
      <c r="M21" s="563">
        <f t="shared" si="3"/>
        <v>217761</v>
      </c>
      <c r="N21" s="563">
        <f t="shared" si="3"/>
        <v>0</v>
      </c>
      <c r="O21" s="563">
        <f t="shared" si="3"/>
        <v>0</v>
      </c>
      <c r="P21" s="563">
        <f t="shared" si="3"/>
        <v>0</v>
      </c>
      <c r="Q21" s="563">
        <f t="shared" si="3"/>
        <v>0</v>
      </c>
      <c r="R21" s="563">
        <f t="shared" si="3"/>
        <v>0</v>
      </c>
      <c r="S21" s="563">
        <f t="shared" si="3"/>
        <v>0</v>
      </c>
      <c r="T21" s="563">
        <f t="shared" si="3"/>
        <v>217761</v>
      </c>
      <c r="U21" s="564"/>
    </row>
    <row r="22" spans="2:50" s="180" customFormat="1" x14ac:dyDescent="0.2">
      <c r="B22" s="557"/>
      <c r="C22" s="182"/>
      <c r="D22" s="565" t="str">
        <f>+'[18]20-21'!$B$62</f>
        <v xml:space="preserve">South African Express Airways </v>
      </c>
      <c r="E22" s="233"/>
      <c r="F22" s="558"/>
      <c r="G22" s="75">
        <f>+'[12]20-21'!$H$62</f>
        <v>143395</v>
      </c>
      <c r="H22" s="563">
        <f t="shared" ref="H22:L22" si="4">SUM(H23:H24)</f>
        <v>0</v>
      </c>
      <c r="I22" s="563">
        <f t="shared" si="4"/>
        <v>0</v>
      </c>
      <c r="J22" s="563">
        <f t="shared" si="4"/>
        <v>0</v>
      </c>
      <c r="K22" s="563">
        <f t="shared" si="4"/>
        <v>0</v>
      </c>
      <c r="L22" s="563">
        <f t="shared" si="4"/>
        <v>0</v>
      </c>
      <c r="M22" s="75">
        <f>+'[18]20-21'!$AL$62</f>
        <v>143395</v>
      </c>
      <c r="N22" s="76">
        <v>0</v>
      </c>
      <c r="O22" s="76">
        <v>0</v>
      </c>
      <c r="P22" s="76">
        <v>0</v>
      </c>
      <c r="Q22" s="76">
        <v>0</v>
      </c>
      <c r="R22" s="76"/>
      <c r="S22" s="76"/>
      <c r="T22" s="76">
        <f t="shared" si="2"/>
        <v>143395</v>
      </c>
      <c r="U22" s="461"/>
      <c r="V22" s="449"/>
      <c r="W22" s="449"/>
      <c r="X22" s="449"/>
      <c r="Y22" s="449"/>
      <c r="Z22" s="449"/>
      <c r="AA22" s="449"/>
      <c r="AB22" s="449"/>
      <c r="AC22" s="449"/>
      <c r="AD22" s="449"/>
      <c r="AE22" s="449"/>
      <c r="AF22" s="449"/>
      <c r="AG22" s="449"/>
      <c r="AH22" s="449"/>
      <c r="AI22" s="449"/>
      <c r="AJ22" s="449"/>
      <c r="AK22" s="449"/>
      <c r="AL22" s="449"/>
      <c r="AM22" s="449"/>
      <c r="AN22" s="449"/>
      <c r="AO22" s="449"/>
      <c r="AP22" s="449"/>
      <c r="AQ22" s="449"/>
      <c r="AR22" s="449"/>
      <c r="AS22" s="449"/>
      <c r="AT22" s="449"/>
      <c r="AU22" s="449"/>
      <c r="AV22" s="449"/>
      <c r="AW22" s="449"/>
      <c r="AX22" s="449"/>
    </row>
    <row r="23" spans="2:50" s="180" customFormat="1" x14ac:dyDescent="0.2">
      <c r="B23" s="557"/>
      <c r="C23" s="182"/>
      <c r="D23" s="565" t="str">
        <f>+'[18]20-21'!$B$63</f>
        <v>Land and Agricultural Development Bank of SA</v>
      </c>
      <c r="E23" s="233"/>
      <c r="F23" s="558"/>
      <c r="G23" s="75">
        <f>+'[12]20-21'!$H$63</f>
        <v>74366</v>
      </c>
      <c r="H23" s="563">
        <f t="shared" ref="H23:L23" si="5">SUM(H24:H25)</f>
        <v>0</v>
      </c>
      <c r="I23" s="563">
        <f t="shared" si="5"/>
        <v>0</v>
      </c>
      <c r="J23" s="563">
        <f t="shared" si="5"/>
        <v>0</v>
      </c>
      <c r="K23" s="563">
        <f t="shared" si="5"/>
        <v>0</v>
      </c>
      <c r="L23" s="563">
        <f t="shared" si="5"/>
        <v>0</v>
      </c>
      <c r="M23" s="75">
        <f>+'[18]20-21'!$AL$63</f>
        <v>74366</v>
      </c>
      <c r="N23" s="76">
        <v>0</v>
      </c>
      <c r="O23" s="76">
        <v>0</v>
      </c>
      <c r="P23" s="76">
        <v>0</v>
      </c>
      <c r="Q23" s="76">
        <v>0</v>
      </c>
      <c r="R23" s="76"/>
      <c r="S23" s="76"/>
      <c r="T23" s="76">
        <f t="shared" si="2"/>
        <v>74366</v>
      </c>
      <c r="U23" s="461"/>
      <c r="V23" s="449"/>
      <c r="W23" s="449"/>
      <c r="X23" s="449"/>
      <c r="Y23" s="449"/>
      <c r="Z23" s="449"/>
      <c r="AA23" s="449"/>
      <c r="AB23" s="449"/>
      <c r="AC23" s="449"/>
      <c r="AD23" s="449"/>
      <c r="AE23" s="449"/>
      <c r="AF23" s="449"/>
      <c r="AG23" s="449"/>
      <c r="AH23" s="449"/>
      <c r="AI23" s="449"/>
      <c r="AJ23" s="449"/>
      <c r="AK23" s="449"/>
      <c r="AL23" s="449"/>
      <c r="AM23" s="449"/>
      <c r="AN23" s="449"/>
      <c r="AO23" s="449"/>
      <c r="AP23" s="449"/>
      <c r="AQ23" s="449"/>
      <c r="AR23" s="449"/>
      <c r="AS23" s="449"/>
      <c r="AT23" s="449"/>
      <c r="AU23" s="449"/>
      <c r="AV23" s="449"/>
      <c r="AW23" s="449"/>
      <c r="AX23" s="449"/>
    </row>
    <row r="24" spans="2:50" s="180" customFormat="1" x14ac:dyDescent="0.2">
      <c r="B24" s="566"/>
      <c r="D24" s="567" t="s">
        <v>618</v>
      </c>
      <c r="E24" s="233"/>
      <c r="F24" s="568"/>
      <c r="G24" s="75">
        <v>0</v>
      </c>
      <c r="H24" s="75">
        <v>0</v>
      </c>
      <c r="I24" s="76">
        <v>0</v>
      </c>
      <c r="J24" s="76">
        <v>0</v>
      </c>
      <c r="K24" s="76">
        <v>0</v>
      </c>
      <c r="L24" s="180">
        <v>0</v>
      </c>
      <c r="M24" s="63">
        <f>SUM(M25:M27)</f>
        <v>6571667</v>
      </c>
      <c r="N24" s="63">
        <f t="shared" ref="N24:T24" si="6">SUM(N25:N27)</f>
        <v>0</v>
      </c>
      <c r="O24" s="63">
        <f t="shared" si="6"/>
        <v>0</v>
      </c>
      <c r="P24" s="63">
        <f t="shared" si="6"/>
        <v>-6571667</v>
      </c>
      <c r="Q24" s="63">
        <f t="shared" si="6"/>
        <v>0</v>
      </c>
      <c r="R24" s="63">
        <f t="shared" si="6"/>
        <v>0</v>
      </c>
      <c r="S24" s="63">
        <f t="shared" si="6"/>
        <v>0</v>
      </c>
      <c r="T24" s="63">
        <f t="shared" si="6"/>
        <v>0</v>
      </c>
      <c r="U24" s="461"/>
      <c r="V24" s="449"/>
      <c r="W24" s="449"/>
      <c r="X24" s="449"/>
      <c r="Y24" s="449"/>
      <c r="Z24" s="449"/>
      <c r="AA24" s="449"/>
      <c r="AB24" s="449"/>
      <c r="AC24" s="449"/>
      <c r="AD24" s="449"/>
      <c r="AE24" s="449"/>
      <c r="AF24" s="449"/>
      <c r="AG24" s="449"/>
      <c r="AH24" s="449"/>
      <c r="AI24" s="449"/>
      <c r="AJ24" s="449"/>
      <c r="AK24" s="449"/>
      <c r="AL24" s="449"/>
      <c r="AM24" s="449"/>
      <c r="AN24" s="449"/>
      <c r="AO24" s="449"/>
      <c r="AP24" s="449"/>
      <c r="AQ24" s="449"/>
      <c r="AR24" s="449"/>
      <c r="AS24" s="449"/>
      <c r="AT24" s="449"/>
      <c r="AU24" s="449"/>
      <c r="AV24" s="449"/>
      <c r="AW24" s="449"/>
      <c r="AX24" s="449"/>
    </row>
    <row r="25" spans="2:50" s="180" customFormat="1" x14ac:dyDescent="0.2">
      <c r="B25" s="557"/>
      <c r="C25" s="182"/>
      <c r="D25" s="569" t="s">
        <v>242</v>
      </c>
      <c r="E25" s="233"/>
      <c r="F25" s="558"/>
      <c r="G25" s="75">
        <v>0</v>
      </c>
      <c r="H25" s="75"/>
      <c r="I25" s="76"/>
      <c r="J25" s="76"/>
      <c r="K25" s="76"/>
      <c r="M25" s="75">
        <f>+'[18]20-21'!$AL$65</f>
        <v>6571667</v>
      </c>
      <c r="N25" s="76">
        <v>0</v>
      </c>
      <c r="O25" s="76">
        <v>0</v>
      </c>
      <c r="P25" s="76">
        <f>+'[12]20-21'!$BA$65</f>
        <v>-6571667</v>
      </c>
      <c r="Q25" s="76">
        <v>0</v>
      </c>
      <c r="R25" s="76"/>
      <c r="S25" s="76"/>
      <c r="T25" s="76">
        <f>SUM(H25:S25)</f>
        <v>0</v>
      </c>
      <c r="U25" s="461"/>
      <c r="V25" s="449"/>
      <c r="W25" s="449"/>
      <c r="X25" s="449"/>
      <c r="Y25" s="449"/>
      <c r="Z25" s="449"/>
      <c r="AA25" s="449"/>
      <c r="AB25" s="449"/>
      <c r="AC25" s="449"/>
      <c r="AD25" s="449"/>
      <c r="AE25" s="449"/>
      <c r="AF25" s="449"/>
      <c r="AG25" s="449"/>
      <c r="AH25" s="449"/>
      <c r="AI25" s="449"/>
      <c r="AJ25" s="449"/>
      <c r="AK25" s="449"/>
      <c r="AL25" s="449"/>
      <c r="AM25" s="449"/>
      <c r="AN25" s="449"/>
      <c r="AO25" s="449"/>
      <c r="AP25" s="449"/>
      <c r="AQ25" s="449"/>
      <c r="AR25" s="449"/>
      <c r="AS25" s="449"/>
      <c r="AT25" s="449"/>
      <c r="AU25" s="449"/>
      <c r="AV25" s="449"/>
      <c r="AW25" s="449"/>
      <c r="AX25" s="449"/>
    </row>
    <row r="26" spans="2:50" s="180" customFormat="1" x14ac:dyDescent="0.2">
      <c r="B26" s="557"/>
      <c r="C26" s="182"/>
      <c r="D26" s="569" t="str">
        <f>+'[23]19-20'!$A$61</f>
        <v>South African Express Airways</v>
      </c>
      <c r="E26" s="233"/>
      <c r="F26" s="558"/>
      <c r="G26" s="75">
        <v>0</v>
      </c>
      <c r="H26" s="75">
        <v>0</v>
      </c>
      <c r="I26" s="76">
        <v>0</v>
      </c>
      <c r="J26" s="76">
        <v>0</v>
      </c>
      <c r="K26" s="76">
        <v>0</v>
      </c>
      <c r="L26" s="76">
        <v>0</v>
      </c>
      <c r="M26" s="76">
        <v>0</v>
      </c>
      <c r="N26" s="76">
        <v>0</v>
      </c>
      <c r="O26" s="76">
        <v>0</v>
      </c>
      <c r="P26" s="76">
        <v>0</v>
      </c>
      <c r="Q26" s="76">
        <v>0</v>
      </c>
      <c r="R26" s="76"/>
      <c r="S26" s="76"/>
      <c r="T26" s="76">
        <f>SUM(H26:S26)</f>
        <v>0</v>
      </c>
      <c r="U26" s="461"/>
      <c r="V26" s="449"/>
      <c r="W26" s="449"/>
      <c r="X26" s="449"/>
      <c r="Y26" s="449"/>
      <c r="Z26" s="449"/>
      <c r="AA26" s="449"/>
      <c r="AB26" s="449"/>
      <c r="AC26" s="449"/>
      <c r="AD26" s="449"/>
      <c r="AE26" s="449"/>
      <c r="AF26" s="449"/>
      <c r="AG26" s="449"/>
      <c r="AH26" s="449"/>
      <c r="AI26" s="449"/>
      <c r="AJ26" s="449"/>
      <c r="AK26" s="449"/>
      <c r="AL26" s="449"/>
      <c r="AM26" s="449"/>
      <c r="AN26" s="449"/>
      <c r="AO26" s="449"/>
      <c r="AP26" s="449"/>
      <c r="AQ26" s="449"/>
      <c r="AR26" s="449"/>
      <c r="AS26" s="449"/>
      <c r="AT26" s="449"/>
      <c r="AU26" s="449"/>
      <c r="AV26" s="449"/>
      <c r="AW26" s="449"/>
      <c r="AX26" s="449"/>
    </row>
    <row r="27" spans="2:50" s="180" customFormat="1" x14ac:dyDescent="0.2">
      <c r="B27" s="557"/>
      <c r="C27" s="182"/>
      <c r="D27" s="569" t="str">
        <f>+'[23]19-20'!$A$62</f>
        <v xml:space="preserve">Denel </v>
      </c>
      <c r="E27" s="233"/>
      <c r="F27" s="558"/>
      <c r="G27" s="75">
        <v>0</v>
      </c>
      <c r="H27" s="75">
        <v>0</v>
      </c>
      <c r="I27" s="76">
        <v>0</v>
      </c>
      <c r="J27" s="76">
        <v>0</v>
      </c>
      <c r="K27" s="76">
        <v>0</v>
      </c>
      <c r="L27" s="76">
        <v>0</v>
      </c>
      <c r="M27" s="76">
        <v>0</v>
      </c>
      <c r="N27" s="76">
        <v>0</v>
      </c>
      <c r="O27" s="76">
        <v>0</v>
      </c>
      <c r="P27" s="76">
        <v>0</v>
      </c>
      <c r="Q27" s="76">
        <v>0</v>
      </c>
      <c r="R27" s="76"/>
      <c r="S27" s="76"/>
      <c r="T27" s="76">
        <f>SUM(H27:S27)</f>
        <v>0</v>
      </c>
      <c r="U27" s="461"/>
      <c r="V27" s="449"/>
      <c r="W27" s="449"/>
      <c r="X27" s="449"/>
      <c r="Y27" s="449"/>
      <c r="Z27" s="449"/>
      <c r="AA27" s="449"/>
      <c r="AB27" s="449"/>
      <c r="AC27" s="449"/>
      <c r="AD27" s="449"/>
      <c r="AE27" s="449"/>
      <c r="AF27" s="449"/>
      <c r="AG27" s="449"/>
      <c r="AH27" s="449"/>
      <c r="AI27" s="449"/>
      <c r="AJ27" s="449"/>
      <c r="AK27" s="449"/>
      <c r="AL27" s="449"/>
      <c r="AM27" s="449"/>
      <c r="AN27" s="449"/>
      <c r="AO27" s="449"/>
      <c r="AP27" s="449"/>
      <c r="AQ27" s="449"/>
      <c r="AR27" s="449"/>
      <c r="AS27" s="449"/>
      <c r="AT27" s="449"/>
      <c r="AU27" s="449"/>
      <c r="AV27" s="449"/>
      <c r="AW27" s="449"/>
      <c r="AX27" s="449"/>
    </row>
    <row r="28" spans="2:50" s="180" customFormat="1" x14ac:dyDescent="0.2">
      <c r="B28" s="557"/>
      <c r="C28" s="182"/>
      <c r="D28" s="569" t="s">
        <v>280</v>
      </c>
      <c r="E28" s="233"/>
      <c r="F28" s="558"/>
      <c r="G28" s="75">
        <v>0</v>
      </c>
      <c r="H28" s="75">
        <v>0</v>
      </c>
      <c r="I28" s="76">
        <v>0</v>
      </c>
      <c r="J28" s="76">
        <v>0</v>
      </c>
      <c r="K28" s="76">
        <v>0</v>
      </c>
      <c r="L28" s="76">
        <v>0</v>
      </c>
      <c r="M28" s="76">
        <v>0</v>
      </c>
      <c r="N28" s="76">
        <v>0</v>
      </c>
      <c r="O28" s="76">
        <v>0</v>
      </c>
      <c r="P28" s="76">
        <v>0</v>
      </c>
      <c r="Q28" s="76">
        <v>0</v>
      </c>
      <c r="R28" s="76"/>
      <c r="S28" s="76"/>
      <c r="T28" s="76">
        <v>0</v>
      </c>
      <c r="U28" s="461"/>
      <c r="V28" s="449"/>
      <c r="W28" s="449"/>
      <c r="X28" s="449"/>
      <c r="Y28" s="449"/>
      <c r="Z28" s="449"/>
      <c r="AA28" s="449"/>
      <c r="AB28" s="449"/>
      <c r="AC28" s="449"/>
      <c r="AD28" s="449"/>
      <c r="AE28" s="449"/>
      <c r="AF28" s="449"/>
      <c r="AG28" s="449"/>
      <c r="AH28" s="449"/>
      <c r="AI28" s="449"/>
      <c r="AJ28" s="449"/>
      <c r="AK28" s="449"/>
      <c r="AL28" s="449"/>
      <c r="AM28" s="449"/>
      <c r="AN28" s="449"/>
      <c r="AO28" s="449"/>
      <c r="AP28" s="449"/>
      <c r="AQ28" s="449"/>
      <c r="AR28" s="449"/>
      <c r="AS28" s="449"/>
      <c r="AT28" s="449"/>
      <c r="AU28" s="449"/>
      <c r="AV28" s="449"/>
      <c r="AW28" s="449"/>
      <c r="AX28" s="449"/>
    </row>
    <row r="29" spans="2:50" s="180" customFormat="1" x14ac:dyDescent="0.2">
      <c r="B29" s="557"/>
      <c r="C29" s="182"/>
      <c r="D29" s="233" t="s">
        <v>619</v>
      </c>
      <c r="E29" s="233"/>
      <c r="F29" s="544"/>
      <c r="G29" s="75">
        <f>+'[12]20-21'!$I$66</f>
        <v>10174611</v>
      </c>
      <c r="H29" s="75">
        <f>+'[13]20-21'!$N$60</f>
        <v>1745798</v>
      </c>
      <c r="I29" s="76">
        <f>+'[14]20-21'!$S$60</f>
        <v>1447692</v>
      </c>
      <c r="J29" s="76">
        <f>+'[15]20-21'!$X$60</f>
        <v>1118322</v>
      </c>
      <c r="K29" s="76">
        <f>+'[16]20-21'!$AC$60</f>
        <v>54518</v>
      </c>
      <c r="L29" s="76">
        <f>+'[17]20-21'!$AH$60</f>
        <v>92107</v>
      </c>
      <c r="M29" s="76">
        <f>+'[18]20-21'!$AM$66</f>
        <v>75474</v>
      </c>
      <c r="N29" s="76">
        <f>+'[19]20-21'!$AR$66</f>
        <v>169312</v>
      </c>
      <c r="O29" s="76">
        <f>+'[20]20-21'!$AW$66</f>
        <v>1460680</v>
      </c>
      <c r="P29" s="76">
        <f>+'[12]20-21'!$BB$66</f>
        <v>1486244</v>
      </c>
      <c r="Q29" s="76">
        <f>+'[21]20-21'!$BG$66</f>
        <v>1665558</v>
      </c>
      <c r="R29" s="76"/>
      <c r="S29" s="76"/>
      <c r="T29" s="76">
        <f>SUM(H29:S29)</f>
        <v>9315705</v>
      </c>
      <c r="U29" s="461"/>
      <c r="V29" s="449"/>
      <c r="W29" s="449"/>
      <c r="X29" s="449"/>
      <c r="Y29" s="449"/>
      <c r="Z29" s="449"/>
      <c r="AA29" s="449"/>
      <c r="AB29" s="449"/>
      <c r="AC29" s="449"/>
      <c r="AD29" s="449"/>
      <c r="AE29" s="449"/>
      <c r="AF29" s="449"/>
      <c r="AG29" s="449"/>
      <c r="AH29" s="449"/>
      <c r="AI29" s="449"/>
      <c r="AJ29" s="449"/>
      <c r="AK29" s="449"/>
      <c r="AL29" s="449"/>
      <c r="AM29" s="449"/>
      <c r="AN29" s="449"/>
      <c r="AO29" s="449"/>
      <c r="AP29" s="449"/>
      <c r="AQ29" s="449"/>
      <c r="AR29" s="449"/>
      <c r="AS29" s="449"/>
      <c r="AT29" s="449"/>
      <c r="AU29" s="449"/>
      <c r="AV29" s="449"/>
      <c r="AW29" s="449"/>
      <c r="AX29" s="449"/>
    </row>
    <row r="30" spans="2:50" s="180" customFormat="1" x14ac:dyDescent="0.2">
      <c r="B30" s="557"/>
      <c r="C30" s="182"/>
      <c r="D30" s="233" t="s">
        <v>521</v>
      </c>
      <c r="E30" s="233"/>
      <c r="F30" s="544"/>
      <c r="G30" s="75">
        <f>+'[12]20-21'!$I$51+'[12]20-21'!$I$52+'[12]20-21'!$I$58+'[12]20-21'!$I$59+'[12]20-21'!$I$67+'[12]20-21'!$I$68+'[12]20-21'!$I$69</f>
        <v>4353192</v>
      </c>
      <c r="H30" s="75">
        <f>+'[13]20-21'!$N$51+'[13]20-21'!$N$52+'[13]20-21'!$N$58+'[13]20-21'!$N$59+'[13]20-21'!$N$61+'[13]20-21'!$N$62+'[13]20-21'!$N$63</f>
        <v>312012</v>
      </c>
      <c r="I30" s="76">
        <f>+'[14]20-21'!$S$51+'[14]20-21'!$S$52+'[14]20-21'!$S$58+'[14]20-21'!$S$59+'[14]20-21'!$S$61+'[14]20-21'!$S$62+'[14]20-21'!$S$63</f>
        <v>412871</v>
      </c>
      <c r="J30" s="76">
        <f>+'[15]20-21'!$X$51+'[15]20-21'!$X$52+'[15]20-21'!$X$58+'[15]20-21'!$X$59+'[15]20-21'!$X$61+'[15]20-21'!$X$62+'[15]20-21'!$X$63</f>
        <v>359717</v>
      </c>
      <c r="K30" s="76">
        <f>+'[16]20-21'!$AC$51+'[16]20-21'!$AC$52+'[16]20-21'!$AC$57+'[16]20-21'!$AC$58+'[16]20-21'!$AC$61+'[16]20-21'!$AC$62+'[16]20-21'!$AC$63+'[16]20-21'!$AC$59</f>
        <v>299667</v>
      </c>
      <c r="L30" s="76">
        <f>+'[17]20-21'!$AH$51+'[17]20-21'!$AH$52+'[17]20-21'!$AH$58+'[17]20-21'!$AH$59+'[17]20-21'!$AH$61+'[17]20-21'!$AH$62+'[17]20-21'!$AH$63</f>
        <v>315189</v>
      </c>
      <c r="M30" s="76">
        <f>+'[18]20-21'!$AM$51+'[18]20-21'!$AM$52+'[18]20-21'!$AM$58+'[18]20-21'!$AM$59+'[18]20-21'!$AM$67+'[18]20-21'!$AM$68</f>
        <v>405863</v>
      </c>
      <c r="N30" s="76">
        <f>+'[24]20-21'!$AR$51+'[24]20-21'!$AR$52+'[24]20-21'!$AR$58+'[24]20-21'!$AR$67+'[24]20-21'!$AR$68</f>
        <v>301581</v>
      </c>
      <c r="O30" s="76">
        <f>+'[20]20-21'!$AW$51+'[20]20-21'!$AW$52+'[20]20-21'!$AW$67+'[20]20-21'!$AW$68+'[20]20-21'!$AW$69</f>
        <v>308149</v>
      </c>
      <c r="P30" s="76">
        <f>+'[12]20-21'!$BB$51+'[12]20-21'!$BB$52+'[12]20-21'!$BB$67+'[12]20-21'!$BB$68+'[12]20-21'!$BB$58</f>
        <v>309346</v>
      </c>
      <c r="Q30" s="76">
        <f>+'[21]20-21'!$BG$51+'[21]20-21'!$BG$52+'[21]20-21'!$BG$67+'[21]20-21'!$BG$68+'[21]20-21'!$BG$69+'[21]20-21'!$BG$58</f>
        <v>295451</v>
      </c>
      <c r="R30" s="76"/>
      <c r="S30" s="76"/>
      <c r="T30" s="76">
        <f>SUM(H30:S30)</f>
        <v>3319846</v>
      </c>
      <c r="U30" s="461"/>
      <c r="V30" s="449"/>
      <c r="W30" s="449"/>
      <c r="X30" s="449"/>
      <c r="Y30" s="449"/>
      <c r="Z30" s="449"/>
      <c r="AA30" s="449"/>
      <c r="AB30" s="449"/>
      <c r="AC30" s="449"/>
      <c r="AD30" s="449"/>
      <c r="AE30" s="449"/>
      <c r="AF30" s="449"/>
      <c r="AG30" s="449"/>
      <c r="AH30" s="449"/>
      <c r="AI30" s="449"/>
      <c r="AJ30" s="449"/>
      <c r="AK30" s="449"/>
      <c r="AL30" s="449"/>
      <c r="AM30" s="449"/>
      <c r="AN30" s="449"/>
      <c r="AO30" s="449"/>
      <c r="AP30" s="449"/>
      <c r="AQ30" s="449"/>
      <c r="AR30" s="449"/>
      <c r="AS30" s="449"/>
      <c r="AT30" s="449"/>
      <c r="AU30" s="449"/>
      <c r="AV30" s="449"/>
      <c r="AW30" s="449"/>
      <c r="AX30" s="449"/>
    </row>
    <row r="31" spans="2:50" s="182" customFormat="1" x14ac:dyDescent="0.2">
      <c r="B31" s="557"/>
      <c r="C31" s="570"/>
      <c r="F31" s="544"/>
      <c r="G31" s="63"/>
      <c r="H31" s="63"/>
      <c r="I31" s="64"/>
      <c r="J31" s="64"/>
      <c r="K31" s="64"/>
      <c r="L31" s="64"/>
      <c r="M31" s="64"/>
      <c r="N31" s="64"/>
      <c r="O31" s="64"/>
      <c r="P31" s="47"/>
      <c r="Q31" s="47"/>
      <c r="R31" s="47"/>
      <c r="S31" s="47"/>
      <c r="T31" s="64"/>
      <c r="U31" s="469"/>
      <c r="V31" s="188"/>
      <c r="W31" s="188"/>
      <c r="X31" s="188"/>
      <c r="Y31" s="188"/>
      <c r="Z31" s="188"/>
      <c r="AA31" s="188"/>
      <c r="AB31" s="188"/>
      <c r="AC31" s="188"/>
      <c r="AD31" s="188"/>
      <c r="AE31" s="188"/>
      <c r="AF31" s="188"/>
      <c r="AG31" s="188"/>
      <c r="AH31" s="188"/>
      <c r="AI31" s="188"/>
      <c r="AJ31" s="188"/>
      <c r="AK31" s="188"/>
      <c r="AL31" s="188"/>
      <c r="AM31" s="188"/>
      <c r="AN31" s="188"/>
      <c r="AO31" s="188"/>
      <c r="AP31" s="188"/>
      <c r="AQ31" s="188"/>
      <c r="AR31" s="188"/>
      <c r="AS31" s="188"/>
      <c r="AT31" s="188"/>
      <c r="AU31" s="188"/>
      <c r="AV31" s="188"/>
      <c r="AW31" s="188"/>
      <c r="AX31" s="188"/>
    </row>
    <row r="32" spans="2:50" s="182" customFormat="1" x14ac:dyDescent="0.2">
      <c r="B32" s="557"/>
      <c r="C32" s="570" t="s">
        <v>248</v>
      </c>
      <c r="F32" s="544"/>
      <c r="G32" s="63">
        <f>+'[19]20-21'!$I$73</f>
        <v>-2108558</v>
      </c>
      <c r="H32" s="63">
        <v>0</v>
      </c>
      <c r="I32" s="64">
        <v>0</v>
      </c>
      <c r="J32" s="64">
        <v>0</v>
      </c>
      <c r="K32" s="64">
        <v>0</v>
      </c>
      <c r="L32" s="64">
        <v>0</v>
      </c>
      <c r="M32" s="64">
        <v>0</v>
      </c>
      <c r="N32" s="64">
        <v>0</v>
      </c>
      <c r="O32" s="64">
        <v>0</v>
      </c>
      <c r="P32" s="47">
        <v>0</v>
      </c>
      <c r="Q32" s="47">
        <v>0</v>
      </c>
      <c r="R32" s="47"/>
      <c r="S32" s="47"/>
      <c r="T32" s="64">
        <v>0</v>
      </c>
      <c r="U32" s="469"/>
      <c r="V32" s="188"/>
      <c r="W32" s="188"/>
      <c r="X32" s="188"/>
      <c r="Y32" s="188"/>
      <c r="Z32" s="188"/>
      <c r="AA32" s="188"/>
      <c r="AB32" s="188"/>
      <c r="AC32" s="188"/>
      <c r="AD32" s="188"/>
      <c r="AE32" s="188"/>
      <c r="AF32" s="188"/>
      <c r="AG32" s="188"/>
      <c r="AH32" s="188"/>
      <c r="AI32" s="188"/>
      <c r="AJ32" s="188"/>
      <c r="AK32" s="188"/>
      <c r="AL32" s="188"/>
      <c r="AM32" s="188"/>
      <c r="AN32" s="188"/>
      <c r="AO32" s="188"/>
      <c r="AP32" s="188"/>
      <c r="AQ32" s="188"/>
      <c r="AR32" s="188"/>
      <c r="AS32" s="188"/>
      <c r="AT32" s="188"/>
      <c r="AU32" s="188"/>
      <c r="AV32" s="188"/>
      <c r="AW32" s="188"/>
      <c r="AX32" s="188"/>
    </row>
    <row r="33" spans="2:52" s="182" customFormat="1" x14ac:dyDescent="0.2">
      <c r="B33" s="557"/>
      <c r="C33" s="570"/>
      <c r="F33" s="544"/>
      <c r="G33" s="63"/>
      <c r="H33" s="63"/>
      <c r="I33" s="47"/>
      <c r="J33" s="47"/>
      <c r="K33" s="64"/>
      <c r="L33" s="64"/>
      <c r="M33" s="47"/>
      <c r="N33" s="64"/>
      <c r="O33" s="47"/>
      <c r="P33" s="47"/>
      <c r="Q33" s="47"/>
      <c r="R33" s="47"/>
      <c r="S33" s="47"/>
      <c r="T33" s="64"/>
      <c r="U33" s="469"/>
      <c r="V33" s="188"/>
      <c r="W33" s="188"/>
      <c r="X33" s="188"/>
      <c r="Y33" s="188"/>
      <c r="Z33" s="188"/>
      <c r="AA33" s="188"/>
      <c r="AB33" s="188"/>
      <c r="AC33" s="188"/>
      <c r="AD33" s="188"/>
      <c r="AE33" s="188"/>
      <c r="AF33" s="188"/>
      <c r="AG33" s="188"/>
      <c r="AH33" s="188"/>
      <c r="AI33" s="188"/>
      <c r="AJ33" s="188"/>
      <c r="AK33" s="188"/>
      <c r="AL33" s="188"/>
      <c r="AM33" s="188"/>
      <c r="AN33" s="188"/>
      <c r="AO33" s="188"/>
      <c r="AP33" s="188"/>
      <c r="AQ33" s="188"/>
      <c r="AR33" s="188"/>
      <c r="AS33" s="188"/>
      <c r="AT33" s="188"/>
      <c r="AU33" s="188"/>
      <c r="AV33" s="188"/>
      <c r="AW33" s="188"/>
      <c r="AX33" s="188"/>
    </row>
    <row r="34" spans="2:52" s="180" customFormat="1" x14ac:dyDescent="0.2">
      <c r="B34" s="173" t="s">
        <v>522</v>
      </c>
      <c r="C34" s="182"/>
      <c r="D34" s="182"/>
      <c r="E34" s="182"/>
      <c r="F34" s="544"/>
      <c r="G34" s="571">
        <f t="shared" ref="G34:S34" si="7">+G9-G11</f>
        <v>-707826711.66846108</v>
      </c>
      <c r="H34" s="571">
        <f t="shared" si="7"/>
        <v>-51156457.046230003</v>
      </c>
      <c r="I34" s="571">
        <f t="shared" si="7"/>
        <v>-52369080.107569978</v>
      </c>
      <c r="J34" s="571">
        <f t="shared" si="7"/>
        <v>-22296182.623359978</v>
      </c>
      <c r="K34" s="571">
        <f t="shared" si="7"/>
        <v>-134529648.03983</v>
      </c>
      <c r="L34" s="571">
        <f t="shared" si="7"/>
        <v>-63673793.456500009</v>
      </c>
      <c r="M34" s="571">
        <f t="shared" si="7"/>
        <v>-42866801.970830038</v>
      </c>
      <c r="N34" s="571">
        <f t="shared" si="7"/>
        <v>-49729127.847139999</v>
      </c>
      <c r="O34" s="571">
        <f t="shared" si="7"/>
        <v>-21403285.226410002</v>
      </c>
      <c r="P34" s="571">
        <f t="shared" si="7"/>
        <v>5051318.7694999874</v>
      </c>
      <c r="Q34" s="571">
        <f t="shared" si="7"/>
        <v>-76235278.776310012</v>
      </c>
      <c r="R34" s="571">
        <f t="shared" si="7"/>
        <v>0</v>
      </c>
      <c r="S34" s="571">
        <f t="shared" si="7"/>
        <v>0</v>
      </c>
      <c r="T34" s="572">
        <f>+T9-T11+1</f>
        <v>-509208336.32468009</v>
      </c>
      <c r="U34" s="461"/>
      <c r="V34" s="43"/>
      <c r="W34" s="188"/>
      <c r="X34" s="188"/>
      <c r="Y34" s="188"/>
      <c r="Z34" s="188"/>
      <c r="AA34" s="188"/>
      <c r="AB34" s="188"/>
      <c r="AC34" s="188"/>
      <c r="AD34" s="188"/>
      <c r="AE34" s="188"/>
      <c r="AF34" s="188"/>
      <c r="AG34" s="188"/>
      <c r="AH34" s="188"/>
      <c r="AI34" s="188"/>
      <c r="AJ34" s="188"/>
      <c r="AK34" s="188"/>
      <c r="AL34" s="188"/>
      <c r="AM34" s="188"/>
      <c r="AN34" s="188"/>
      <c r="AO34" s="188"/>
      <c r="AP34" s="188"/>
      <c r="AQ34" s="188"/>
      <c r="AR34" s="188"/>
      <c r="AS34" s="188"/>
      <c r="AT34" s="188"/>
      <c r="AU34" s="188"/>
      <c r="AV34" s="188"/>
      <c r="AW34" s="188"/>
      <c r="AX34" s="188"/>
      <c r="AY34" s="449"/>
      <c r="AZ34" s="449"/>
    </row>
    <row r="35" spans="2:52" s="180" customFormat="1" x14ac:dyDescent="0.2">
      <c r="B35" s="171"/>
      <c r="F35" s="544"/>
      <c r="G35" s="573"/>
      <c r="H35" s="573"/>
      <c r="I35" s="574"/>
      <c r="J35" s="574"/>
      <c r="K35" s="574"/>
      <c r="L35" s="574"/>
      <c r="M35" s="574"/>
      <c r="N35" s="574"/>
      <c r="O35" s="574"/>
      <c r="P35" s="574"/>
      <c r="Q35" s="574"/>
      <c r="R35" s="574"/>
      <c r="S35" s="574"/>
      <c r="T35" s="574"/>
      <c r="U35" s="461"/>
      <c r="V35" s="449"/>
      <c r="W35" s="449"/>
      <c r="X35" s="449"/>
      <c r="Y35" s="449"/>
      <c r="Z35" s="449"/>
      <c r="AA35" s="449"/>
      <c r="AB35" s="449"/>
      <c r="AC35" s="449"/>
      <c r="AD35" s="449"/>
      <c r="AE35" s="449"/>
      <c r="AF35" s="449"/>
      <c r="AG35" s="449"/>
      <c r="AH35" s="449"/>
      <c r="AI35" s="449"/>
      <c r="AJ35" s="449"/>
      <c r="AK35" s="449"/>
      <c r="AL35" s="449"/>
      <c r="AM35" s="449"/>
      <c r="AN35" s="449"/>
      <c r="AO35" s="449"/>
      <c r="AP35" s="449"/>
      <c r="AQ35" s="449"/>
      <c r="AR35" s="449"/>
      <c r="AS35" s="449"/>
      <c r="AT35" s="449"/>
      <c r="AU35" s="449"/>
      <c r="AV35" s="449"/>
      <c r="AW35" s="449"/>
      <c r="AX35" s="449"/>
    </row>
    <row r="36" spans="2:52" s="180" customFormat="1" x14ac:dyDescent="0.2">
      <c r="B36" s="173"/>
      <c r="C36" s="182"/>
      <c r="F36" s="558"/>
      <c r="G36" s="575"/>
      <c r="H36" s="575"/>
      <c r="I36" s="576"/>
      <c r="J36" s="576"/>
      <c r="K36" s="576"/>
      <c r="L36" s="576"/>
      <c r="M36" s="576"/>
      <c r="N36" s="576"/>
      <c r="O36" s="576"/>
      <c r="P36" s="576"/>
      <c r="Q36" s="576"/>
      <c r="R36" s="576"/>
      <c r="S36" s="576"/>
      <c r="T36" s="576"/>
      <c r="U36" s="461"/>
      <c r="V36" s="449"/>
      <c r="W36" s="449"/>
      <c r="X36" s="449"/>
      <c r="Y36" s="449"/>
      <c r="Z36" s="449"/>
      <c r="AA36" s="449"/>
      <c r="AB36" s="449"/>
      <c r="AC36" s="449"/>
      <c r="AD36" s="449"/>
      <c r="AE36" s="449"/>
      <c r="AF36" s="449"/>
      <c r="AG36" s="449"/>
      <c r="AH36" s="449"/>
      <c r="AI36" s="449"/>
      <c r="AJ36" s="449"/>
      <c r="AK36" s="449"/>
      <c r="AL36" s="449"/>
      <c r="AM36" s="449"/>
      <c r="AN36" s="449"/>
      <c r="AO36" s="449"/>
      <c r="AP36" s="449"/>
      <c r="AQ36" s="449"/>
      <c r="AR36" s="449"/>
      <c r="AS36" s="449"/>
      <c r="AT36" s="449"/>
      <c r="AU36" s="449"/>
      <c r="AV36" s="449"/>
      <c r="AW36" s="449"/>
      <c r="AX36" s="449"/>
    </row>
    <row r="37" spans="2:52" s="180" customFormat="1" x14ac:dyDescent="0.2">
      <c r="B37" s="173" t="s">
        <v>620</v>
      </c>
      <c r="C37" s="182"/>
      <c r="F37" s="558"/>
      <c r="G37" s="577"/>
      <c r="H37" s="577"/>
      <c r="I37" s="578"/>
      <c r="J37" s="578"/>
      <c r="K37" s="578"/>
      <c r="L37" s="578"/>
      <c r="M37" s="578"/>
      <c r="N37" s="578"/>
      <c r="O37" s="578"/>
      <c r="P37" s="578"/>
      <c r="Q37" s="578"/>
      <c r="R37" s="578"/>
      <c r="S37" s="578"/>
      <c r="T37" s="578"/>
      <c r="U37" s="461"/>
      <c r="V37" s="449"/>
      <c r="W37" s="449"/>
      <c r="X37" s="449"/>
      <c r="Y37" s="449"/>
      <c r="Z37" s="449"/>
      <c r="AA37" s="449"/>
      <c r="AB37" s="449"/>
      <c r="AC37" s="449"/>
      <c r="AD37" s="449"/>
      <c r="AE37" s="449"/>
      <c r="AF37" s="449"/>
      <c r="AG37" s="449"/>
      <c r="AH37" s="449"/>
      <c r="AI37" s="449"/>
      <c r="AJ37" s="449"/>
      <c r="AK37" s="449"/>
      <c r="AL37" s="449"/>
      <c r="AM37" s="449"/>
      <c r="AN37" s="449"/>
      <c r="AO37" s="449"/>
      <c r="AP37" s="449"/>
      <c r="AQ37" s="449"/>
      <c r="AR37" s="449"/>
      <c r="AS37" s="449"/>
      <c r="AT37" s="449"/>
      <c r="AU37" s="449"/>
      <c r="AV37" s="449"/>
      <c r="AW37" s="449"/>
      <c r="AX37" s="449"/>
    </row>
    <row r="38" spans="2:52" s="180" customFormat="1" x14ac:dyDescent="0.2">
      <c r="B38" s="173"/>
      <c r="C38" s="182"/>
      <c r="F38" s="558"/>
      <c r="G38" s="577"/>
      <c r="H38" s="577"/>
      <c r="I38" s="578"/>
      <c r="J38" s="578"/>
      <c r="K38" s="578"/>
      <c r="L38" s="578"/>
      <c r="M38" s="578"/>
      <c r="N38" s="578"/>
      <c r="O38" s="578"/>
      <c r="P38" s="578"/>
      <c r="Q38" s="578"/>
      <c r="R38" s="578"/>
      <c r="S38" s="578"/>
      <c r="T38" s="578"/>
      <c r="U38" s="461"/>
      <c r="V38" s="449"/>
      <c r="W38" s="449"/>
      <c r="X38" s="449"/>
      <c r="Y38" s="449"/>
      <c r="Z38" s="449"/>
      <c r="AA38" s="449"/>
      <c r="AB38" s="449"/>
      <c r="AC38" s="449"/>
      <c r="AD38" s="449"/>
      <c r="AE38" s="449"/>
      <c r="AF38" s="449"/>
      <c r="AG38" s="449"/>
      <c r="AH38" s="449"/>
      <c r="AI38" s="449"/>
      <c r="AJ38" s="449"/>
      <c r="AK38" s="449"/>
      <c r="AL38" s="449"/>
      <c r="AM38" s="449"/>
      <c r="AN38" s="449"/>
      <c r="AO38" s="449"/>
      <c r="AP38" s="449"/>
      <c r="AQ38" s="449"/>
      <c r="AR38" s="449"/>
      <c r="AS38" s="449"/>
      <c r="AT38" s="449"/>
      <c r="AU38" s="449"/>
      <c r="AV38" s="449"/>
      <c r="AW38" s="449"/>
      <c r="AX38" s="449"/>
    </row>
    <row r="39" spans="2:52" s="180" customFormat="1" x14ac:dyDescent="0.2">
      <c r="B39" s="173" t="s">
        <v>291</v>
      </c>
      <c r="C39" s="579"/>
      <c r="E39" s="580"/>
      <c r="F39" s="544">
        <v>3</v>
      </c>
      <c r="G39" s="57">
        <f>+[25]summary!$H$13</f>
        <v>143000000</v>
      </c>
      <c r="H39" s="57">
        <f>+[26]summary!$M$13</f>
        <v>37582688</v>
      </c>
      <c r="I39" s="47">
        <f>+[27]summary!$R$13</f>
        <v>16125619</v>
      </c>
      <c r="J39" s="47">
        <f>+[28]summary!$W$13</f>
        <v>11567828</v>
      </c>
      <c r="K39" s="47">
        <f>+[29]summary!$AB$13</f>
        <v>26289577</v>
      </c>
      <c r="L39" s="47">
        <f>+[30]summary!$AG$13</f>
        <v>-5974831</v>
      </c>
      <c r="M39" s="47">
        <f>+[31]summary!$AL$13</f>
        <v>1315362</v>
      </c>
      <c r="N39" s="47">
        <f>+[25]summary!$AQ$13</f>
        <v>31098565</v>
      </c>
      <c r="O39" s="47">
        <f>+[32]summary!$AV$13</f>
        <v>295423</v>
      </c>
      <c r="P39" s="47">
        <f>+[33]summary!$BA$13</f>
        <v>-33015782</v>
      </c>
      <c r="Q39" s="47">
        <f>+[34]summary!$BF$13</f>
        <v>15701292</v>
      </c>
      <c r="R39" s="47"/>
      <c r="S39" s="47"/>
      <c r="T39" s="24">
        <f>SUM(H39:S39)</f>
        <v>100985741</v>
      </c>
      <c r="U39" s="461"/>
      <c r="V39" s="449"/>
      <c r="W39" s="43"/>
      <c r="X39" s="43"/>
      <c r="Y39" s="43"/>
      <c r="Z39" s="43"/>
      <c r="AA39" s="43"/>
      <c r="AB39" s="43"/>
      <c r="AC39" s="43"/>
      <c r="AD39" s="43"/>
      <c r="AE39" s="43"/>
      <c r="AF39" s="43"/>
      <c r="AG39" s="43"/>
      <c r="AH39" s="43"/>
      <c r="AI39" s="43"/>
      <c r="AJ39" s="449"/>
      <c r="AK39" s="449"/>
      <c r="AL39" s="449"/>
      <c r="AM39" s="449"/>
      <c r="AN39" s="449"/>
      <c r="AO39" s="449"/>
      <c r="AP39" s="449"/>
      <c r="AQ39" s="449"/>
      <c r="AR39" s="449"/>
      <c r="AS39" s="449"/>
      <c r="AT39" s="449"/>
      <c r="AU39" s="449"/>
      <c r="AV39" s="449"/>
      <c r="AW39" s="449"/>
      <c r="AX39" s="449"/>
    </row>
    <row r="40" spans="2:52" s="180" customFormat="1" x14ac:dyDescent="0.2">
      <c r="B40" s="173"/>
      <c r="C40" s="579"/>
      <c r="F40" s="544"/>
      <c r="G40" s="57"/>
      <c r="H40" s="57"/>
      <c r="I40" s="47"/>
      <c r="J40" s="47"/>
      <c r="K40" s="47"/>
      <c r="L40" s="47"/>
      <c r="M40" s="47"/>
      <c r="N40" s="47"/>
      <c r="O40" s="47"/>
      <c r="P40" s="47"/>
      <c r="Q40" s="47"/>
      <c r="R40" s="47"/>
      <c r="S40" s="47"/>
      <c r="T40" s="47"/>
      <c r="U40" s="461"/>
      <c r="V40" s="449"/>
      <c r="W40" s="449"/>
      <c r="X40" s="449"/>
      <c r="Y40" s="449"/>
      <c r="Z40" s="449"/>
      <c r="AA40" s="449"/>
      <c r="AB40" s="449"/>
      <c r="AC40" s="449"/>
      <c r="AD40" s="449"/>
      <c r="AE40" s="449"/>
      <c r="AF40" s="449"/>
      <c r="AG40" s="449"/>
      <c r="AH40" s="449"/>
      <c r="AI40" s="449"/>
      <c r="AJ40" s="449"/>
      <c r="AK40" s="449"/>
      <c r="AL40" s="449"/>
      <c r="AM40" s="449"/>
      <c r="AN40" s="449"/>
      <c r="AO40" s="449"/>
      <c r="AP40" s="449"/>
      <c r="AQ40" s="449"/>
      <c r="AR40" s="449"/>
      <c r="AS40" s="449"/>
      <c r="AT40" s="449"/>
      <c r="AU40" s="449"/>
      <c r="AV40" s="449"/>
      <c r="AW40" s="449"/>
      <c r="AX40" s="449"/>
    </row>
    <row r="41" spans="2:52" s="180" customFormat="1" x14ac:dyDescent="0.2">
      <c r="B41" s="173" t="s">
        <v>299</v>
      </c>
      <c r="C41" s="579"/>
      <c r="F41" s="544">
        <v>3</v>
      </c>
      <c r="G41" s="57">
        <f>+[25]summary!$H$23</f>
        <v>410035000</v>
      </c>
      <c r="H41" s="57">
        <f>+[26]summary!$M$23</f>
        <v>32850713</v>
      </c>
      <c r="I41" s="47">
        <f>+[27]summary!$R$23</f>
        <v>40638036.743999995</v>
      </c>
      <c r="J41" s="47">
        <f>+[28]summary!$W$23</f>
        <v>43402900</v>
      </c>
      <c r="K41" s="47">
        <f>+[29]summary!$AB$23</f>
        <v>60600922</v>
      </c>
      <c r="L41" s="47">
        <f>+[30]summary!$AG$23</f>
        <v>37229982</v>
      </c>
      <c r="M41" s="47">
        <f>+[31]summary!$AL$23</f>
        <v>50427153</v>
      </c>
      <c r="N41" s="47">
        <f>+[25]summary!$AQ$23</f>
        <v>50571945</v>
      </c>
      <c r="O41" s="47">
        <f>+[32]summary!$AV$23</f>
        <v>39211461</v>
      </c>
      <c r="P41" s="47">
        <f>+[33]summary!$BA$23</f>
        <v>45711722</v>
      </c>
      <c r="Q41" s="47">
        <f>+[34]summary!$BF$23</f>
        <v>34673258</v>
      </c>
      <c r="R41" s="47"/>
      <c r="S41" s="47"/>
      <c r="T41" s="24">
        <f>SUM(H41:S41)</f>
        <v>435318092.74399996</v>
      </c>
      <c r="U41" s="461"/>
      <c r="V41" s="449"/>
      <c r="W41" s="43"/>
      <c r="X41" s="43"/>
      <c r="Y41" s="43"/>
      <c r="Z41" s="43"/>
      <c r="AA41" s="43"/>
      <c r="AB41" s="43"/>
      <c r="AC41" s="43"/>
      <c r="AD41" s="43"/>
      <c r="AE41" s="43"/>
      <c r="AF41" s="43"/>
      <c r="AG41" s="43"/>
      <c r="AH41" s="43"/>
      <c r="AI41" s="43"/>
      <c r="AJ41" s="449"/>
      <c r="AK41" s="449"/>
      <c r="AL41" s="449"/>
      <c r="AM41" s="449"/>
      <c r="AN41" s="449"/>
      <c r="AO41" s="449"/>
      <c r="AP41" s="449"/>
      <c r="AQ41" s="449"/>
      <c r="AR41" s="449"/>
      <c r="AS41" s="449"/>
      <c r="AT41" s="449"/>
      <c r="AU41" s="449"/>
      <c r="AV41" s="449"/>
      <c r="AW41" s="449"/>
      <c r="AX41" s="449"/>
    </row>
    <row r="42" spans="2:52" s="180" customFormat="1" x14ac:dyDescent="0.2">
      <c r="B42" s="171"/>
      <c r="F42" s="544"/>
      <c r="G42" s="125"/>
      <c r="H42" s="125"/>
      <c r="I42" s="476"/>
      <c r="J42" s="476"/>
      <c r="K42" s="476"/>
      <c r="L42" s="476"/>
      <c r="M42" s="476"/>
      <c r="N42" s="476"/>
      <c r="O42" s="476"/>
      <c r="P42" s="476"/>
      <c r="Q42" s="476"/>
      <c r="R42" s="476"/>
      <c r="S42" s="476"/>
      <c r="T42" s="476"/>
      <c r="U42" s="461"/>
      <c r="V42" s="449"/>
      <c r="W42" s="449"/>
      <c r="X42" s="449"/>
      <c r="Y42" s="449"/>
      <c r="Z42" s="449"/>
      <c r="AA42" s="449"/>
      <c r="AB42" s="449"/>
      <c r="AC42" s="449"/>
      <c r="AD42" s="449"/>
      <c r="AE42" s="449"/>
      <c r="AF42" s="449"/>
      <c r="AG42" s="449"/>
      <c r="AH42" s="449"/>
      <c r="AI42" s="449"/>
      <c r="AJ42" s="449"/>
      <c r="AK42" s="449"/>
      <c r="AL42" s="449"/>
      <c r="AM42" s="449"/>
      <c r="AN42" s="449"/>
      <c r="AO42" s="449"/>
      <c r="AP42" s="449"/>
      <c r="AQ42" s="449"/>
      <c r="AR42" s="449"/>
      <c r="AS42" s="449"/>
      <c r="AT42" s="449"/>
      <c r="AU42" s="449"/>
      <c r="AV42" s="449"/>
      <c r="AW42" s="449"/>
      <c r="AX42" s="449"/>
    </row>
    <row r="43" spans="2:52" s="180" customFormat="1" x14ac:dyDescent="0.2">
      <c r="B43" s="173" t="s">
        <v>621</v>
      </c>
      <c r="C43" s="579"/>
      <c r="F43" s="544">
        <v>3</v>
      </c>
      <c r="G43" s="23">
        <f>+[25]summary!$H$44</f>
        <v>106956000</v>
      </c>
      <c r="H43" s="23">
        <f>+[26]summary!$M$45</f>
        <v>-777665</v>
      </c>
      <c r="I43" s="24">
        <f>+[27]summary!$R$45</f>
        <v>-4931986</v>
      </c>
      <c r="J43" s="24">
        <f>+[28]summary!$W$44</f>
        <v>-8699700</v>
      </c>
      <c r="K43" s="24">
        <f>+[29]summary!$AB$44</f>
        <v>86911584</v>
      </c>
      <c r="L43" s="24">
        <f>+[30]summary!$AG$44</f>
        <v>0</v>
      </c>
      <c r="M43" s="24">
        <f>+[31]summary!$AL$44</f>
        <v>0</v>
      </c>
      <c r="N43" s="24">
        <f>+[25]summary!$AQ$44</f>
        <v>5008164</v>
      </c>
      <c r="O43" s="24">
        <f>+[32]summary!$AV$44</f>
        <v>-6967</v>
      </c>
      <c r="P43" s="24">
        <f>+[33]summary!$BA$44</f>
        <v>0</v>
      </c>
      <c r="Q43" s="24">
        <f>+[34]summary!$BF$44</f>
        <v>0</v>
      </c>
      <c r="R43" s="24"/>
      <c r="S43" s="24"/>
      <c r="T43" s="24">
        <f>SUM(H43:S43)</f>
        <v>77503430</v>
      </c>
      <c r="U43" s="581"/>
      <c r="V43" s="582"/>
      <c r="W43" s="43"/>
      <c r="X43" s="43"/>
      <c r="Y43" s="43"/>
      <c r="Z43" s="43"/>
      <c r="AA43" s="43"/>
      <c r="AB43" s="43"/>
      <c r="AC43" s="43"/>
      <c r="AD43" s="43"/>
      <c r="AE43" s="43"/>
      <c r="AF43" s="43"/>
      <c r="AG43" s="43"/>
      <c r="AH43" s="43"/>
      <c r="AI43" s="43"/>
      <c r="AJ43" s="449"/>
      <c r="AK43" s="449"/>
      <c r="AL43" s="449"/>
      <c r="AM43" s="449"/>
      <c r="AN43" s="449"/>
      <c r="AO43" s="449"/>
      <c r="AP43" s="449"/>
      <c r="AQ43" s="449"/>
      <c r="AR43" s="449"/>
      <c r="AS43" s="449"/>
      <c r="AT43" s="449"/>
      <c r="AU43" s="449"/>
      <c r="AV43" s="449"/>
      <c r="AW43" s="449"/>
      <c r="AX43" s="449"/>
    </row>
    <row r="44" spans="2:52" s="180" customFormat="1" x14ac:dyDescent="0.2">
      <c r="B44" s="173"/>
      <c r="C44" s="579"/>
      <c r="F44" s="458"/>
      <c r="G44" s="125"/>
      <c r="H44" s="125"/>
      <c r="I44" s="476"/>
      <c r="J44" s="476"/>
      <c r="K44" s="476"/>
      <c r="L44" s="476"/>
      <c r="M44" s="476"/>
      <c r="N44" s="476"/>
      <c r="O44" s="476"/>
      <c r="P44" s="476"/>
      <c r="Q44" s="476"/>
      <c r="R44" s="476"/>
      <c r="S44" s="476"/>
      <c r="T44" s="476"/>
      <c r="U44" s="581"/>
      <c r="V44" s="582"/>
      <c r="W44" s="449"/>
      <c r="X44" s="449"/>
      <c r="Y44" s="449"/>
      <c r="Z44" s="449"/>
      <c r="AA44" s="449"/>
      <c r="AB44" s="449"/>
      <c r="AC44" s="449"/>
      <c r="AD44" s="449"/>
      <c r="AE44" s="449"/>
      <c r="AF44" s="449"/>
      <c r="AG44" s="449"/>
      <c r="AH44" s="449"/>
      <c r="AI44" s="449"/>
      <c r="AJ44" s="449"/>
      <c r="AK44" s="449"/>
      <c r="AL44" s="449"/>
      <c r="AM44" s="449"/>
      <c r="AN44" s="449"/>
      <c r="AO44" s="449"/>
      <c r="AP44" s="449"/>
      <c r="AQ44" s="449"/>
      <c r="AR44" s="449"/>
      <c r="AS44" s="449"/>
      <c r="AT44" s="449"/>
      <c r="AU44" s="449"/>
      <c r="AV44" s="449"/>
      <c r="AW44" s="449"/>
      <c r="AX44" s="449"/>
    </row>
    <row r="45" spans="2:52" s="180" customFormat="1" x14ac:dyDescent="0.2">
      <c r="B45" s="173" t="s">
        <v>622</v>
      </c>
      <c r="C45" s="579"/>
      <c r="F45" s="544">
        <v>3</v>
      </c>
      <c r="G45" s="23">
        <f>+[25]summary!$H$67</f>
        <v>47835711.668461092</v>
      </c>
      <c r="H45" s="23">
        <f>+[26]summary!$M$68</f>
        <v>-18499278.953769997</v>
      </c>
      <c r="I45" s="24">
        <f>+[27]summary!$R$67</f>
        <v>537410.36356998235</v>
      </c>
      <c r="J45" s="24">
        <f>+[28]summary!$W$67</f>
        <v>-23974845.376640022</v>
      </c>
      <c r="K45" s="24">
        <f>+[29]summary!$AB$67</f>
        <v>-39272434.960170001</v>
      </c>
      <c r="L45" s="24">
        <f>+[30]summary!$AG$67</f>
        <v>32418642.456500009</v>
      </c>
      <c r="M45" s="24">
        <f>+[31]summary!$AL$67</f>
        <v>-8875713.0291699618</v>
      </c>
      <c r="N45" s="24">
        <f>+[25]summary!$AQ$67</f>
        <v>-36949546.152860001</v>
      </c>
      <c r="O45" s="24">
        <f>+[32]summary!$AV$67</f>
        <v>-18096631.773589998</v>
      </c>
      <c r="P45" s="24">
        <f>+[33]summary!$BA$67</f>
        <v>-17747258.769499987</v>
      </c>
      <c r="Q45" s="24">
        <f>+[34]summary!$BF$67</f>
        <v>25860728.776310012</v>
      </c>
      <c r="R45" s="24"/>
      <c r="S45" s="24"/>
      <c r="T45" s="24">
        <f>SUM(H45:S45)+1</f>
        <v>-104598926.41931996</v>
      </c>
      <c r="U45" s="581"/>
      <c r="V45" s="582"/>
      <c r="W45" s="43"/>
      <c r="X45" s="43"/>
      <c r="Y45" s="43"/>
      <c r="Z45" s="43"/>
      <c r="AA45" s="43"/>
      <c r="AB45" s="43"/>
      <c r="AC45" s="43"/>
      <c r="AD45" s="43"/>
      <c r="AE45" s="43"/>
      <c r="AF45" s="43"/>
      <c r="AG45" s="43"/>
      <c r="AH45" s="43"/>
      <c r="AI45" s="43"/>
      <c r="AJ45" s="449"/>
      <c r="AK45" s="449"/>
      <c r="AL45" s="449"/>
      <c r="AM45" s="449"/>
      <c r="AN45" s="449"/>
      <c r="AO45" s="449"/>
      <c r="AP45" s="449"/>
      <c r="AQ45" s="449"/>
      <c r="AR45" s="449"/>
      <c r="AS45" s="449"/>
      <c r="AT45" s="449"/>
      <c r="AU45" s="449"/>
      <c r="AV45" s="449"/>
      <c r="AW45" s="449"/>
      <c r="AX45" s="449"/>
    </row>
    <row r="46" spans="2:52" s="180" customFormat="1" x14ac:dyDescent="0.2">
      <c r="B46" s="173"/>
      <c r="C46" s="579"/>
      <c r="F46" s="544"/>
      <c r="G46" s="583"/>
      <c r="H46" s="583"/>
      <c r="I46" s="584"/>
      <c r="J46" s="584"/>
      <c r="K46" s="584"/>
      <c r="L46" s="584"/>
      <c r="M46" s="584"/>
      <c r="N46" s="584"/>
      <c r="O46" s="584"/>
      <c r="P46" s="584"/>
      <c r="Q46" s="584"/>
      <c r="R46" s="584"/>
      <c r="S46" s="584"/>
      <c r="T46" s="584"/>
      <c r="U46" s="581"/>
      <c r="V46" s="582"/>
      <c r="W46" s="449"/>
      <c r="X46" s="449"/>
      <c r="Y46" s="449"/>
      <c r="Z46" s="449"/>
      <c r="AA46" s="449"/>
      <c r="AB46" s="449"/>
      <c r="AC46" s="449"/>
      <c r="AD46" s="449"/>
      <c r="AE46" s="449"/>
      <c r="AF46" s="449"/>
      <c r="AG46" s="449"/>
      <c r="AH46" s="449"/>
      <c r="AI46" s="449"/>
      <c r="AJ46" s="449"/>
      <c r="AK46" s="449"/>
      <c r="AL46" s="449"/>
      <c r="AM46" s="449"/>
      <c r="AN46" s="449"/>
      <c r="AO46" s="449"/>
      <c r="AP46" s="449"/>
      <c r="AQ46" s="449"/>
      <c r="AR46" s="449"/>
      <c r="AS46" s="449"/>
      <c r="AT46" s="449"/>
      <c r="AU46" s="449"/>
      <c r="AV46" s="449"/>
      <c r="AW46" s="449"/>
      <c r="AX46" s="449"/>
    </row>
    <row r="47" spans="2:52" s="180" customFormat="1" x14ac:dyDescent="0.2">
      <c r="B47" s="173" t="s">
        <v>623</v>
      </c>
      <c r="C47" s="182"/>
      <c r="D47" s="182"/>
      <c r="E47" s="182"/>
      <c r="F47" s="458"/>
      <c r="G47" s="585">
        <f>+G39+G41+G43+G45</f>
        <v>707826711.66846108</v>
      </c>
      <c r="H47" s="585">
        <f t="shared" ref="H47:S47" si="8">+H39+H41+H43+H45</f>
        <v>51156457.046230003</v>
      </c>
      <c r="I47" s="585">
        <f t="shared" si="8"/>
        <v>52369080.107569978</v>
      </c>
      <c r="J47" s="585">
        <f>+J39+J41+J43+J45</f>
        <v>22296182.623359978</v>
      </c>
      <c r="K47" s="585">
        <f t="shared" si="8"/>
        <v>134529648.03983</v>
      </c>
      <c r="L47" s="585">
        <f>+L39+L41+L43+L45</f>
        <v>63673793.456500009</v>
      </c>
      <c r="M47" s="585">
        <f>+M39+M41+M43+M45</f>
        <v>42866801.970830038</v>
      </c>
      <c r="N47" s="585">
        <f t="shared" si="8"/>
        <v>49729127.847139999</v>
      </c>
      <c r="O47" s="585">
        <f t="shared" si="8"/>
        <v>21403285.226410002</v>
      </c>
      <c r="P47" s="572">
        <f t="shared" si="8"/>
        <v>-5051318.7694999874</v>
      </c>
      <c r="Q47" s="585">
        <f t="shared" si="8"/>
        <v>76235278.776310012</v>
      </c>
      <c r="R47" s="585">
        <f t="shared" si="8"/>
        <v>0</v>
      </c>
      <c r="S47" s="585">
        <f t="shared" si="8"/>
        <v>0</v>
      </c>
      <c r="T47" s="586">
        <f>+T39+T41+T43+T45-1</f>
        <v>509208336.32467997</v>
      </c>
      <c r="U47" s="581"/>
      <c r="V47" s="115"/>
      <c r="W47" s="449"/>
      <c r="X47" s="449"/>
      <c r="Y47" s="449"/>
      <c r="Z47" s="449"/>
      <c r="AA47" s="449"/>
      <c r="AB47" s="449"/>
      <c r="AC47" s="449"/>
      <c r="AD47" s="449"/>
      <c r="AE47" s="449"/>
      <c r="AF47" s="449"/>
      <c r="AG47" s="449"/>
      <c r="AH47" s="449"/>
      <c r="AI47" s="449"/>
      <c r="AJ47" s="449"/>
      <c r="AK47" s="449"/>
      <c r="AL47" s="449"/>
      <c r="AM47" s="449"/>
      <c r="AN47" s="449"/>
      <c r="AO47" s="449"/>
      <c r="AP47" s="449"/>
      <c r="AQ47" s="449"/>
      <c r="AR47" s="449"/>
      <c r="AS47" s="449"/>
      <c r="AT47" s="449"/>
      <c r="AU47" s="449"/>
      <c r="AV47" s="449"/>
      <c r="AW47" s="449"/>
      <c r="AX47" s="449"/>
    </row>
    <row r="48" spans="2:52" s="180" customFormat="1" x14ac:dyDescent="0.2">
      <c r="B48" s="477"/>
      <c r="C48" s="183"/>
      <c r="D48" s="183"/>
      <c r="E48" s="183"/>
      <c r="F48" s="587"/>
      <c r="G48" s="480"/>
      <c r="H48" s="480"/>
      <c r="I48" s="588"/>
      <c r="J48" s="588"/>
      <c r="K48" s="588"/>
      <c r="L48" s="588"/>
      <c r="M48" s="588"/>
      <c r="N48" s="588"/>
      <c r="O48" s="588"/>
      <c r="P48" s="588"/>
      <c r="Q48" s="588"/>
      <c r="R48" s="588"/>
      <c r="S48" s="588"/>
      <c r="T48" s="588"/>
      <c r="U48" s="461"/>
      <c r="V48" s="449"/>
      <c r="W48" s="449"/>
      <c r="X48" s="449"/>
      <c r="Y48" s="449"/>
      <c r="Z48" s="449"/>
      <c r="AA48" s="449"/>
      <c r="AB48" s="449"/>
      <c r="AC48" s="449"/>
      <c r="AD48" s="449"/>
      <c r="AE48" s="449"/>
      <c r="AF48" s="449"/>
      <c r="AG48" s="449"/>
      <c r="AH48" s="449"/>
      <c r="AI48" s="449"/>
      <c r="AJ48" s="449"/>
      <c r="AK48" s="449"/>
      <c r="AL48" s="449"/>
      <c r="AM48" s="449"/>
      <c r="AN48" s="449"/>
      <c r="AO48" s="449"/>
      <c r="AP48" s="449"/>
      <c r="AQ48" s="449"/>
      <c r="AR48" s="449"/>
      <c r="AS48" s="449"/>
      <c r="AT48" s="449"/>
      <c r="AU48" s="449"/>
      <c r="AV48" s="449"/>
      <c r="AW48" s="449"/>
      <c r="AX48" s="449"/>
    </row>
    <row r="49" spans="2:50" s="180" customFormat="1" ht="13.5" x14ac:dyDescent="0.25">
      <c r="B49" s="589" t="s">
        <v>502</v>
      </c>
      <c r="F49" s="262"/>
      <c r="G49" s="228"/>
      <c r="H49" s="228"/>
      <c r="I49" s="228"/>
      <c r="J49" s="228"/>
      <c r="K49" s="228"/>
      <c r="L49" s="228"/>
      <c r="M49" s="228"/>
      <c r="N49" s="228"/>
      <c r="O49" s="228"/>
      <c r="P49" s="228"/>
      <c r="Q49" s="228"/>
      <c r="R49" s="228"/>
      <c r="S49" s="228"/>
      <c r="T49" s="228"/>
      <c r="U49" s="449"/>
      <c r="V49" s="449"/>
      <c r="W49" s="449"/>
      <c r="X49" s="449"/>
      <c r="Y49" s="449"/>
      <c r="Z49" s="449"/>
      <c r="AA49" s="449"/>
      <c r="AB49" s="449"/>
      <c r="AC49" s="449"/>
      <c r="AD49" s="449"/>
      <c r="AE49" s="449"/>
      <c r="AF49" s="449"/>
      <c r="AG49" s="449"/>
      <c r="AH49" s="449"/>
      <c r="AI49" s="449"/>
      <c r="AJ49" s="449"/>
      <c r="AK49" s="449"/>
      <c r="AL49" s="449"/>
      <c r="AM49" s="449"/>
      <c r="AN49" s="449"/>
      <c r="AO49" s="449"/>
      <c r="AP49" s="449"/>
      <c r="AQ49" s="449"/>
      <c r="AR49" s="449"/>
      <c r="AS49" s="449"/>
      <c r="AT49" s="449"/>
      <c r="AU49" s="449"/>
      <c r="AV49" s="449"/>
      <c r="AW49" s="449"/>
      <c r="AX49" s="449"/>
    </row>
    <row r="50" spans="2:50" s="589" customFormat="1" ht="13.5" x14ac:dyDescent="0.25">
      <c r="B50" s="589" t="s">
        <v>624</v>
      </c>
    </row>
    <row r="51" spans="2:50" s="589" customFormat="1" ht="13.5" x14ac:dyDescent="0.25">
      <c r="B51" s="589" t="s">
        <v>625</v>
      </c>
    </row>
    <row r="53" spans="2:50" ht="13.5" hidden="1" x14ac:dyDescent="0.25">
      <c r="G53" s="589">
        <f t="shared" ref="G53:T53" si="9">+G34+G47</f>
        <v>0</v>
      </c>
      <c r="H53" s="589">
        <f t="shared" si="9"/>
        <v>0</v>
      </c>
      <c r="I53" s="589">
        <f t="shared" si="9"/>
        <v>0</v>
      </c>
      <c r="J53" s="589">
        <f t="shared" si="9"/>
        <v>0</v>
      </c>
      <c r="K53" s="589">
        <f t="shared" si="9"/>
        <v>0</v>
      </c>
      <c r="L53" s="589">
        <f t="shared" si="9"/>
        <v>0</v>
      </c>
      <c r="M53" s="589">
        <f t="shared" si="9"/>
        <v>0</v>
      </c>
      <c r="N53" s="589">
        <f t="shared" si="9"/>
        <v>0</v>
      </c>
      <c r="O53" s="589">
        <f t="shared" si="9"/>
        <v>0</v>
      </c>
      <c r="P53" s="589">
        <f t="shared" si="9"/>
        <v>0</v>
      </c>
      <c r="Q53" s="589">
        <f t="shared" si="9"/>
        <v>0</v>
      </c>
      <c r="R53" s="589">
        <f t="shared" si="9"/>
        <v>0</v>
      </c>
      <c r="S53" s="589">
        <f t="shared" si="9"/>
        <v>0</v>
      </c>
      <c r="T53" s="589">
        <f t="shared" si="9"/>
        <v>0</v>
      </c>
      <c r="U53" s="536"/>
      <c r="V53" s="536"/>
      <c r="W53" s="536"/>
      <c r="X53" s="536"/>
      <c r="Y53" s="536"/>
      <c r="Z53" s="536"/>
      <c r="AA53" s="536"/>
      <c r="AB53" s="536"/>
      <c r="AC53" s="536"/>
      <c r="AD53" s="536"/>
      <c r="AE53" s="536"/>
      <c r="AF53" s="536"/>
      <c r="AG53" s="536"/>
      <c r="AH53" s="536"/>
      <c r="AI53" s="536"/>
      <c r="AJ53" s="536"/>
      <c r="AK53" s="536"/>
      <c r="AL53" s="536"/>
      <c r="AM53" s="536"/>
      <c r="AN53" s="536"/>
      <c r="AO53" s="536"/>
      <c r="AP53" s="536"/>
      <c r="AQ53" s="536"/>
      <c r="AR53" s="536"/>
      <c r="AS53" s="536"/>
      <c r="AT53" s="536"/>
      <c r="AU53" s="536"/>
      <c r="AV53" s="536"/>
      <c r="AW53" s="536"/>
      <c r="AX53" s="536"/>
    </row>
    <row r="54" spans="2:50" hidden="1" x14ac:dyDescent="0.25">
      <c r="G54" s="590"/>
      <c r="H54" s="590"/>
      <c r="I54" s="590"/>
      <c r="J54" s="590"/>
      <c r="K54" s="590"/>
      <c r="L54" s="590"/>
      <c r="M54" s="590"/>
      <c r="N54" s="590"/>
      <c r="O54" s="590"/>
      <c r="P54" s="590"/>
      <c r="Q54" s="590"/>
      <c r="R54" s="590"/>
      <c r="S54" s="590"/>
      <c r="T54" s="590"/>
      <c r="U54" s="536"/>
      <c r="V54" s="536"/>
      <c r="W54" s="536"/>
      <c r="X54" s="536"/>
      <c r="Y54" s="536"/>
      <c r="Z54" s="536"/>
      <c r="AA54" s="536"/>
      <c r="AB54" s="536"/>
      <c r="AC54" s="536"/>
      <c r="AD54" s="536"/>
      <c r="AE54" s="536"/>
      <c r="AF54" s="536"/>
      <c r="AG54" s="536"/>
      <c r="AH54" s="536"/>
      <c r="AI54" s="536"/>
      <c r="AJ54" s="536"/>
      <c r="AK54" s="536"/>
      <c r="AL54" s="536"/>
      <c r="AM54" s="536"/>
      <c r="AN54" s="536"/>
      <c r="AO54" s="536"/>
      <c r="AP54" s="536"/>
      <c r="AQ54" s="536"/>
      <c r="AR54" s="536"/>
      <c r="AS54" s="536"/>
      <c r="AT54" s="536"/>
      <c r="AU54" s="536"/>
      <c r="AV54" s="536"/>
      <c r="AW54" s="536"/>
      <c r="AX54" s="536"/>
    </row>
    <row r="55" spans="2:50" hidden="1" x14ac:dyDescent="0.25">
      <c r="C55" s="537" t="s">
        <v>626</v>
      </c>
      <c r="F55" s="537" t="s">
        <v>627</v>
      </c>
      <c r="G55" s="590"/>
      <c r="H55" s="590"/>
      <c r="I55" s="590"/>
      <c r="J55" s="590"/>
      <c r="K55" s="590"/>
      <c r="L55" s="590"/>
      <c r="M55" s="590"/>
      <c r="N55" s="590"/>
      <c r="O55" s="590"/>
      <c r="P55" s="590"/>
      <c r="Q55" s="590"/>
      <c r="R55" s="590"/>
      <c r="S55" s="590"/>
      <c r="T55" s="590"/>
      <c r="U55" s="536"/>
      <c r="V55" s="536"/>
      <c r="W55" s="536"/>
      <c r="X55" s="536"/>
      <c r="Y55" s="536"/>
      <c r="Z55" s="536"/>
      <c r="AA55" s="536"/>
      <c r="AB55" s="536"/>
      <c r="AC55" s="536"/>
      <c r="AD55" s="536"/>
      <c r="AE55" s="536"/>
      <c r="AF55" s="536"/>
      <c r="AG55" s="536"/>
      <c r="AH55" s="536"/>
      <c r="AI55" s="536"/>
      <c r="AJ55" s="536"/>
      <c r="AK55" s="536"/>
      <c r="AL55" s="536"/>
      <c r="AM55" s="536"/>
      <c r="AN55" s="536"/>
      <c r="AO55" s="536"/>
      <c r="AP55" s="536"/>
      <c r="AQ55" s="536"/>
      <c r="AR55" s="536"/>
      <c r="AS55" s="536"/>
      <c r="AT55" s="536"/>
      <c r="AU55" s="536"/>
      <c r="AV55" s="536"/>
      <c r="AW55" s="536"/>
      <c r="AX55" s="536"/>
    </row>
    <row r="56" spans="2:50" hidden="1" x14ac:dyDescent="0.25">
      <c r="G56" s="590"/>
      <c r="H56" s="590"/>
      <c r="I56" s="590"/>
      <c r="J56" s="590"/>
      <c r="K56" s="590"/>
      <c r="L56" s="590"/>
      <c r="M56" s="590"/>
      <c r="N56" s="590"/>
      <c r="O56" s="590"/>
      <c r="P56" s="590"/>
      <c r="Q56" s="590"/>
      <c r="R56" s="590"/>
      <c r="S56" s="590"/>
      <c r="T56" s="590"/>
      <c r="U56" s="536"/>
      <c r="V56" s="536"/>
      <c r="W56" s="536"/>
      <c r="X56" s="536"/>
      <c r="Y56" s="536"/>
      <c r="Z56" s="536"/>
      <c r="AA56" s="536"/>
      <c r="AB56" s="536"/>
      <c r="AC56" s="536"/>
      <c r="AD56" s="536"/>
      <c r="AE56" s="536"/>
      <c r="AF56" s="536"/>
      <c r="AG56" s="536"/>
      <c r="AH56" s="536"/>
      <c r="AI56" s="536"/>
      <c r="AJ56" s="536"/>
      <c r="AK56" s="536"/>
      <c r="AL56" s="536"/>
      <c r="AM56" s="536"/>
      <c r="AN56" s="536"/>
      <c r="AO56" s="536"/>
      <c r="AP56" s="536"/>
      <c r="AQ56" s="536"/>
      <c r="AR56" s="536"/>
      <c r="AS56" s="536"/>
      <c r="AT56" s="536"/>
      <c r="AU56" s="536"/>
      <c r="AV56" s="536"/>
      <c r="AW56" s="536"/>
      <c r="AX56" s="536"/>
    </row>
    <row r="57" spans="2:50" hidden="1" x14ac:dyDescent="0.25">
      <c r="G57" s="590"/>
      <c r="H57" s="590"/>
      <c r="I57" s="590"/>
      <c r="J57" s="590"/>
      <c r="K57" s="590"/>
      <c r="L57" s="590"/>
      <c r="M57" s="590"/>
      <c r="N57" s="590"/>
      <c r="O57" s="590"/>
      <c r="P57" s="590"/>
      <c r="Q57" s="590"/>
      <c r="R57" s="590"/>
      <c r="S57" s="590"/>
      <c r="T57" s="590"/>
      <c r="U57" s="536"/>
      <c r="V57" s="536"/>
      <c r="W57" s="536"/>
      <c r="X57" s="536"/>
      <c r="Y57" s="536"/>
      <c r="Z57" s="536"/>
      <c r="AA57" s="536"/>
      <c r="AB57" s="536"/>
      <c r="AC57" s="536"/>
      <c r="AD57" s="536"/>
      <c r="AE57" s="536"/>
      <c r="AF57" s="536"/>
      <c r="AG57" s="536"/>
      <c r="AH57" s="536"/>
      <c r="AI57" s="536"/>
      <c r="AJ57" s="536"/>
      <c r="AK57" s="536"/>
      <c r="AL57" s="536"/>
      <c r="AM57" s="536"/>
      <c r="AN57" s="536"/>
      <c r="AO57" s="536"/>
      <c r="AP57" s="536"/>
      <c r="AQ57" s="536"/>
      <c r="AR57" s="536"/>
      <c r="AS57" s="536"/>
      <c r="AT57" s="536"/>
      <c r="AU57" s="536"/>
      <c r="AV57" s="536"/>
      <c r="AW57" s="536"/>
      <c r="AX57" s="536"/>
    </row>
    <row r="58" spans="2:50" ht="12.75" hidden="1" customHeight="1" x14ac:dyDescent="0.25">
      <c r="C58" s="537" t="s">
        <v>628</v>
      </c>
      <c r="F58" s="537" t="s">
        <v>628</v>
      </c>
      <c r="G58" s="590"/>
      <c r="H58" s="590"/>
      <c r="I58" s="590"/>
      <c r="J58" s="590"/>
      <c r="K58" s="590"/>
      <c r="L58" s="590"/>
      <c r="M58" s="590"/>
      <c r="N58" s="590"/>
      <c r="O58" s="590"/>
      <c r="P58" s="590"/>
      <c r="Q58" s="590"/>
      <c r="R58" s="590"/>
      <c r="S58" s="590"/>
      <c r="T58" s="590"/>
      <c r="U58" s="536"/>
      <c r="V58" s="536"/>
      <c r="W58" s="536"/>
      <c r="X58" s="536"/>
      <c r="Y58" s="536"/>
      <c r="Z58" s="536"/>
      <c r="AA58" s="536"/>
      <c r="AB58" s="536"/>
      <c r="AC58" s="536"/>
      <c r="AD58" s="536"/>
      <c r="AE58" s="536"/>
      <c r="AF58" s="536"/>
      <c r="AG58" s="536"/>
      <c r="AH58" s="536"/>
      <c r="AI58" s="536"/>
      <c r="AJ58" s="536"/>
      <c r="AK58" s="536"/>
      <c r="AL58" s="536"/>
      <c r="AM58" s="536"/>
      <c r="AN58" s="536"/>
      <c r="AO58" s="536"/>
      <c r="AP58" s="536"/>
      <c r="AQ58" s="536"/>
      <c r="AR58" s="536"/>
      <c r="AS58" s="536"/>
      <c r="AT58" s="536"/>
      <c r="AU58" s="536"/>
      <c r="AV58" s="536"/>
      <c r="AW58" s="536"/>
      <c r="AX58" s="536"/>
    </row>
    <row r="59" spans="2:50" hidden="1" x14ac:dyDescent="0.25">
      <c r="G59" s="590"/>
      <c r="H59" s="590"/>
      <c r="I59" s="590"/>
      <c r="J59" s="590"/>
      <c r="K59" s="590"/>
      <c r="L59" s="590"/>
      <c r="M59" s="590"/>
      <c r="N59" s="590"/>
      <c r="O59" s="590"/>
      <c r="P59" s="590"/>
      <c r="Q59" s="590"/>
      <c r="R59" s="590"/>
      <c r="S59" s="590"/>
      <c r="T59" s="590"/>
      <c r="U59" s="536"/>
      <c r="V59" s="536"/>
      <c r="W59" s="536"/>
      <c r="X59" s="536"/>
      <c r="Y59" s="536"/>
      <c r="Z59" s="536"/>
      <c r="AA59" s="536"/>
      <c r="AB59" s="536"/>
      <c r="AC59" s="536"/>
      <c r="AD59" s="536"/>
      <c r="AE59" s="536"/>
      <c r="AF59" s="536"/>
      <c r="AG59" s="536"/>
      <c r="AH59" s="536"/>
      <c r="AI59" s="536"/>
      <c r="AJ59" s="536"/>
      <c r="AK59" s="536"/>
      <c r="AL59" s="536"/>
      <c r="AM59" s="536"/>
      <c r="AN59" s="536"/>
      <c r="AO59" s="536"/>
      <c r="AP59" s="536"/>
      <c r="AQ59" s="536"/>
      <c r="AR59" s="536"/>
      <c r="AS59" s="536"/>
      <c r="AT59" s="536"/>
      <c r="AU59" s="536"/>
      <c r="AV59" s="536"/>
      <c r="AW59" s="536"/>
      <c r="AX59" s="536"/>
    </row>
    <row r="60" spans="2:50" hidden="1" x14ac:dyDescent="0.25">
      <c r="G60" s="590"/>
      <c r="H60" s="590"/>
      <c r="I60" s="590"/>
      <c r="J60" s="590"/>
      <c r="K60" s="590"/>
      <c r="L60" s="590"/>
      <c r="M60" s="590"/>
      <c r="N60" s="590"/>
      <c r="O60" s="590"/>
      <c r="P60" s="590"/>
      <c r="Q60" s="590"/>
      <c r="R60" s="590"/>
      <c r="S60" s="590"/>
      <c r="T60" s="590"/>
      <c r="U60" s="536"/>
      <c r="V60" s="536"/>
      <c r="W60" s="536"/>
      <c r="X60" s="536"/>
      <c r="Y60" s="536"/>
      <c r="Z60" s="536"/>
      <c r="AA60" s="536"/>
      <c r="AB60" s="536"/>
      <c r="AC60" s="536"/>
      <c r="AD60" s="536"/>
      <c r="AE60" s="536"/>
      <c r="AF60" s="536"/>
      <c r="AG60" s="536"/>
      <c r="AH60" s="536"/>
      <c r="AI60" s="536"/>
      <c r="AJ60" s="536"/>
      <c r="AK60" s="536"/>
      <c r="AL60" s="536"/>
      <c r="AM60" s="536"/>
      <c r="AN60" s="536"/>
      <c r="AO60" s="536"/>
      <c r="AP60" s="536"/>
      <c r="AQ60" s="536"/>
      <c r="AR60" s="536"/>
      <c r="AS60" s="536"/>
      <c r="AT60" s="536"/>
      <c r="AU60" s="536"/>
      <c r="AV60" s="536"/>
      <c r="AW60" s="536"/>
      <c r="AX60" s="536"/>
    </row>
    <row r="61" spans="2:50" hidden="1" x14ac:dyDescent="0.25">
      <c r="G61" s="590"/>
      <c r="H61" s="590"/>
      <c r="I61" s="590"/>
      <c r="J61" s="590"/>
      <c r="K61" s="590"/>
      <c r="L61" s="590"/>
      <c r="M61" s="590"/>
      <c r="N61" s="590"/>
      <c r="O61" s="590"/>
      <c r="P61" s="590"/>
      <c r="Q61" s="590"/>
      <c r="R61" s="590"/>
      <c r="S61" s="590"/>
      <c r="T61" s="590"/>
      <c r="U61" s="536"/>
      <c r="V61" s="536"/>
      <c r="W61" s="536"/>
      <c r="X61" s="536"/>
      <c r="Y61" s="536"/>
      <c r="Z61" s="536"/>
      <c r="AA61" s="536"/>
      <c r="AB61" s="536"/>
      <c r="AC61" s="536"/>
      <c r="AD61" s="536"/>
      <c r="AE61" s="536"/>
      <c r="AF61" s="536"/>
      <c r="AG61" s="536"/>
      <c r="AH61" s="536"/>
      <c r="AI61" s="536"/>
      <c r="AJ61" s="536"/>
      <c r="AK61" s="536"/>
      <c r="AL61" s="536"/>
      <c r="AM61" s="536"/>
      <c r="AN61" s="536"/>
      <c r="AO61" s="536"/>
      <c r="AP61" s="536"/>
      <c r="AQ61" s="536"/>
      <c r="AR61" s="536"/>
      <c r="AS61" s="536"/>
      <c r="AT61" s="536"/>
      <c r="AU61" s="536"/>
      <c r="AV61" s="536"/>
      <c r="AW61" s="536"/>
      <c r="AX61" s="536"/>
    </row>
    <row r="62" spans="2:50" x14ac:dyDescent="0.25">
      <c r="G62" s="590"/>
      <c r="H62" s="590"/>
      <c r="I62" s="590"/>
      <c r="J62" s="590"/>
      <c r="K62" s="590"/>
      <c r="L62" s="590"/>
      <c r="M62" s="590"/>
      <c r="N62" s="590"/>
      <c r="O62" s="590"/>
      <c r="P62" s="590"/>
      <c r="Q62" s="590"/>
      <c r="R62" s="590"/>
      <c r="S62" s="590"/>
      <c r="T62" s="590"/>
      <c r="U62" s="536"/>
      <c r="V62" s="536"/>
      <c r="W62" s="536"/>
      <c r="X62" s="536"/>
      <c r="Y62" s="536"/>
      <c r="Z62" s="536"/>
      <c r="AA62" s="536"/>
      <c r="AB62" s="536"/>
      <c r="AC62" s="536"/>
      <c r="AD62" s="536"/>
      <c r="AE62" s="536"/>
      <c r="AF62" s="536"/>
      <c r="AG62" s="536"/>
      <c r="AH62" s="536"/>
      <c r="AI62" s="536"/>
      <c r="AJ62" s="536"/>
      <c r="AK62" s="536"/>
      <c r="AL62" s="536"/>
      <c r="AM62" s="536"/>
      <c r="AN62" s="536"/>
      <c r="AO62" s="536"/>
      <c r="AP62" s="536"/>
      <c r="AQ62" s="536"/>
      <c r="AR62" s="536"/>
      <c r="AS62" s="536"/>
      <c r="AT62" s="536"/>
      <c r="AU62" s="536"/>
      <c r="AV62" s="536"/>
      <c r="AW62" s="536"/>
      <c r="AX62" s="536"/>
    </row>
    <row r="63" spans="2:50" x14ac:dyDescent="0.25">
      <c r="G63" s="590"/>
      <c r="H63" s="590"/>
      <c r="I63" s="590"/>
      <c r="J63" s="590"/>
      <c r="K63" s="590"/>
      <c r="L63" s="590"/>
      <c r="M63" s="590"/>
      <c r="N63" s="590"/>
      <c r="O63" s="590"/>
      <c r="P63" s="590"/>
      <c r="Q63" s="590"/>
      <c r="R63" s="590"/>
      <c r="S63" s="590"/>
      <c r="T63" s="590"/>
      <c r="U63" s="536"/>
      <c r="V63" s="536"/>
      <c r="W63" s="536"/>
      <c r="X63" s="536"/>
      <c r="Y63" s="536"/>
      <c r="Z63" s="536"/>
      <c r="AA63" s="536"/>
      <c r="AB63" s="536"/>
      <c r="AC63" s="536"/>
      <c r="AD63" s="536"/>
      <c r="AE63" s="536"/>
      <c r="AF63" s="536"/>
      <c r="AG63" s="536"/>
      <c r="AH63" s="536"/>
      <c r="AI63" s="536"/>
      <c r="AJ63" s="536"/>
      <c r="AK63" s="536"/>
      <c r="AL63" s="536"/>
      <c r="AM63" s="536"/>
      <c r="AN63" s="536"/>
      <c r="AO63" s="536"/>
      <c r="AP63" s="536"/>
      <c r="AQ63" s="536"/>
      <c r="AR63" s="536"/>
      <c r="AS63" s="536"/>
      <c r="AT63" s="536"/>
      <c r="AU63" s="536"/>
      <c r="AV63" s="536"/>
      <c r="AW63" s="536"/>
      <c r="AX63" s="536"/>
    </row>
    <row r="64" spans="2:50" x14ac:dyDescent="0.25">
      <c r="G64" s="590"/>
      <c r="H64" s="590"/>
      <c r="I64" s="590"/>
      <c r="J64" s="590"/>
      <c r="K64" s="590"/>
      <c r="L64" s="590"/>
      <c r="M64" s="590"/>
      <c r="N64" s="590"/>
      <c r="O64" s="590"/>
      <c r="P64" s="590"/>
      <c r="Q64" s="590"/>
      <c r="R64" s="590"/>
      <c r="S64" s="590"/>
      <c r="T64" s="590"/>
      <c r="U64" s="536"/>
      <c r="V64" s="536"/>
      <c r="W64" s="536"/>
      <c r="X64" s="536"/>
      <c r="Y64" s="536"/>
      <c r="Z64" s="536"/>
      <c r="AA64" s="536"/>
      <c r="AB64" s="536"/>
      <c r="AC64" s="536"/>
      <c r="AD64" s="536"/>
      <c r="AE64" s="536"/>
      <c r="AF64" s="536"/>
      <c r="AG64" s="536"/>
      <c r="AH64" s="536"/>
      <c r="AI64" s="536"/>
      <c r="AJ64" s="536"/>
      <c r="AK64" s="536"/>
      <c r="AL64" s="536"/>
      <c r="AM64" s="536"/>
      <c r="AN64" s="536"/>
      <c r="AO64" s="536"/>
      <c r="AP64" s="536"/>
      <c r="AQ64" s="536"/>
      <c r="AR64" s="536"/>
      <c r="AS64" s="536"/>
      <c r="AT64" s="536"/>
      <c r="AU64" s="536"/>
      <c r="AV64" s="536"/>
      <c r="AW64" s="536"/>
      <c r="AX64" s="536"/>
    </row>
    <row r="65" spans="7:50" x14ac:dyDescent="0.25">
      <c r="G65" s="590"/>
      <c r="H65" s="590"/>
      <c r="I65" s="590"/>
      <c r="J65" s="590"/>
      <c r="K65" s="590"/>
      <c r="L65" s="590"/>
      <c r="M65" s="590"/>
      <c r="N65" s="590"/>
      <c r="O65" s="590"/>
      <c r="P65" s="590"/>
      <c r="Q65" s="590"/>
      <c r="R65" s="590"/>
      <c r="S65" s="590"/>
      <c r="T65" s="590"/>
      <c r="U65" s="536"/>
      <c r="V65" s="536"/>
      <c r="W65" s="536"/>
      <c r="X65" s="536"/>
      <c r="Y65" s="536"/>
      <c r="Z65" s="536"/>
      <c r="AA65" s="536"/>
      <c r="AB65" s="536"/>
      <c r="AC65" s="536"/>
      <c r="AD65" s="536"/>
      <c r="AE65" s="536"/>
      <c r="AF65" s="536"/>
      <c r="AG65" s="536"/>
      <c r="AH65" s="536"/>
      <c r="AI65" s="536"/>
      <c r="AJ65" s="536"/>
      <c r="AK65" s="536"/>
      <c r="AL65" s="536"/>
      <c r="AM65" s="536"/>
      <c r="AN65" s="536"/>
      <c r="AO65" s="536"/>
      <c r="AP65" s="536"/>
      <c r="AQ65" s="536"/>
      <c r="AR65" s="536"/>
      <c r="AS65" s="536"/>
      <c r="AT65" s="536"/>
      <c r="AU65" s="536"/>
      <c r="AV65" s="536"/>
      <c r="AW65" s="536"/>
      <c r="AX65" s="536"/>
    </row>
    <row r="66" spans="7:50" x14ac:dyDescent="0.25">
      <c r="G66" s="590"/>
      <c r="H66" s="590"/>
      <c r="I66" s="590"/>
      <c r="J66" s="590"/>
      <c r="K66" s="590"/>
      <c r="L66" s="590"/>
      <c r="M66" s="590"/>
      <c r="N66" s="590"/>
      <c r="O66" s="590"/>
      <c r="P66" s="590"/>
      <c r="Q66" s="590"/>
      <c r="R66" s="590"/>
      <c r="S66" s="590"/>
      <c r="T66" s="590"/>
      <c r="U66" s="536"/>
      <c r="V66" s="536"/>
      <c r="W66" s="536"/>
      <c r="X66" s="536"/>
      <c r="Y66" s="536"/>
      <c r="Z66" s="536"/>
      <c r="AA66" s="536"/>
      <c r="AB66" s="536"/>
      <c r="AC66" s="536"/>
      <c r="AD66" s="536"/>
      <c r="AE66" s="536"/>
      <c r="AF66" s="536"/>
      <c r="AG66" s="536"/>
      <c r="AH66" s="536"/>
      <c r="AI66" s="536"/>
      <c r="AJ66" s="536"/>
      <c r="AK66" s="536"/>
      <c r="AL66" s="536"/>
      <c r="AM66" s="536"/>
      <c r="AN66" s="536"/>
      <c r="AO66" s="536"/>
      <c r="AP66" s="536"/>
      <c r="AQ66" s="536"/>
      <c r="AR66" s="536"/>
      <c r="AS66" s="536"/>
      <c r="AT66" s="536"/>
      <c r="AU66" s="536"/>
      <c r="AV66" s="536"/>
      <c r="AW66" s="536"/>
      <c r="AX66" s="536"/>
    </row>
    <row r="67" spans="7:50" x14ac:dyDescent="0.25">
      <c r="G67" s="590"/>
      <c r="H67" s="590"/>
      <c r="I67" s="590"/>
      <c r="J67" s="590"/>
      <c r="K67" s="590"/>
      <c r="L67" s="590"/>
      <c r="M67" s="590"/>
      <c r="N67" s="590"/>
      <c r="O67" s="590"/>
      <c r="P67" s="590"/>
      <c r="Q67" s="590"/>
      <c r="R67" s="590"/>
      <c r="S67" s="590"/>
      <c r="T67" s="590"/>
      <c r="U67" s="536"/>
      <c r="V67" s="536"/>
      <c r="W67" s="536"/>
      <c r="X67" s="536"/>
      <c r="Y67" s="536"/>
      <c r="Z67" s="536"/>
      <c r="AA67" s="536"/>
      <c r="AB67" s="536"/>
      <c r="AC67" s="536"/>
      <c r="AD67" s="536"/>
      <c r="AE67" s="536"/>
      <c r="AF67" s="536"/>
      <c r="AG67" s="536"/>
      <c r="AH67" s="536"/>
      <c r="AI67" s="536"/>
      <c r="AJ67" s="536"/>
      <c r="AK67" s="536"/>
      <c r="AL67" s="536"/>
      <c r="AM67" s="536"/>
      <c r="AN67" s="536"/>
      <c r="AO67" s="536"/>
      <c r="AP67" s="536"/>
      <c r="AQ67" s="536"/>
      <c r="AR67" s="536"/>
      <c r="AS67" s="536"/>
      <c r="AT67" s="536"/>
      <c r="AU67" s="536"/>
      <c r="AV67" s="536"/>
      <c r="AW67" s="536"/>
      <c r="AX67" s="536"/>
    </row>
    <row r="68" spans="7:50" x14ac:dyDescent="0.25">
      <c r="G68" s="590"/>
      <c r="H68" s="590"/>
      <c r="I68" s="590"/>
      <c r="J68" s="590"/>
      <c r="K68" s="590"/>
      <c r="L68" s="590"/>
      <c r="M68" s="590"/>
      <c r="N68" s="590"/>
      <c r="O68" s="590"/>
      <c r="P68" s="590"/>
      <c r="Q68" s="590"/>
      <c r="R68" s="590"/>
      <c r="S68" s="590"/>
      <c r="T68" s="590"/>
      <c r="U68" s="536"/>
      <c r="V68" s="536"/>
      <c r="W68" s="536"/>
      <c r="X68" s="536"/>
      <c r="Y68" s="536"/>
      <c r="Z68" s="536"/>
      <c r="AA68" s="536"/>
      <c r="AB68" s="536"/>
      <c r="AC68" s="536"/>
      <c r="AD68" s="536"/>
      <c r="AE68" s="536"/>
      <c r="AF68" s="536"/>
      <c r="AG68" s="536"/>
      <c r="AH68" s="536"/>
      <c r="AI68" s="536"/>
      <c r="AJ68" s="536"/>
      <c r="AK68" s="536"/>
      <c r="AL68" s="536"/>
      <c r="AM68" s="536"/>
      <c r="AN68" s="536"/>
      <c r="AO68" s="536"/>
      <c r="AP68" s="536"/>
      <c r="AQ68" s="536"/>
      <c r="AR68" s="536"/>
      <c r="AS68" s="536"/>
      <c r="AT68" s="536"/>
      <c r="AU68" s="536"/>
      <c r="AV68" s="536"/>
      <c r="AW68" s="536"/>
      <c r="AX68" s="536"/>
    </row>
    <row r="69" spans="7:50" x14ac:dyDescent="0.25">
      <c r="G69" s="590"/>
      <c r="H69" s="590"/>
      <c r="I69" s="590"/>
      <c r="J69" s="590"/>
      <c r="K69" s="590"/>
      <c r="L69" s="590"/>
      <c r="M69" s="590"/>
      <c r="N69" s="590"/>
      <c r="O69" s="590"/>
      <c r="P69" s="590"/>
      <c r="Q69" s="590"/>
      <c r="R69" s="590"/>
      <c r="S69" s="590"/>
      <c r="T69" s="590"/>
      <c r="U69" s="536"/>
      <c r="V69" s="536"/>
      <c r="W69" s="536"/>
      <c r="X69" s="536"/>
      <c r="Y69" s="536"/>
      <c r="Z69" s="536"/>
      <c r="AA69" s="536"/>
      <c r="AB69" s="536"/>
      <c r="AC69" s="536"/>
      <c r="AD69" s="536"/>
      <c r="AE69" s="536"/>
      <c r="AF69" s="536"/>
      <c r="AG69" s="536"/>
      <c r="AH69" s="536"/>
      <c r="AI69" s="536"/>
      <c r="AJ69" s="536"/>
      <c r="AK69" s="536"/>
      <c r="AL69" s="536"/>
      <c r="AM69" s="536"/>
      <c r="AN69" s="536"/>
      <c r="AO69" s="536"/>
      <c r="AP69" s="536"/>
      <c r="AQ69" s="536"/>
      <c r="AR69" s="536"/>
      <c r="AS69" s="536"/>
      <c r="AT69" s="536"/>
      <c r="AU69" s="536"/>
      <c r="AV69" s="536"/>
      <c r="AW69" s="536"/>
      <c r="AX69" s="536"/>
    </row>
    <row r="70" spans="7:50" x14ac:dyDescent="0.25">
      <c r="G70" s="590"/>
      <c r="H70" s="590"/>
      <c r="I70" s="590"/>
      <c r="J70" s="590"/>
      <c r="K70" s="590"/>
      <c r="L70" s="590"/>
      <c r="M70" s="590"/>
      <c r="N70" s="590"/>
      <c r="O70" s="590"/>
      <c r="P70" s="590"/>
      <c r="Q70" s="590"/>
      <c r="R70" s="590"/>
      <c r="S70" s="590"/>
      <c r="T70" s="590"/>
      <c r="U70" s="536"/>
      <c r="V70" s="536"/>
      <c r="W70" s="536"/>
      <c r="X70" s="536"/>
      <c r="Y70" s="536"/>
      <c r="Z70" s="536"/>
      <c r="AA70" s="536"/>
      <c r="AB70" s="536"/>
      <c r="AC70" s="536"/>
      <c r="AD70" s="536"/>
      <c r="AE70" s="536"/>
      <c r="AF70" s="536"/>
      <c r="AG70" s="536"/>
      <c r="AH70" s="536"/>
      <c r="AI70" s="536"/>
      <c r="AJ70" s="536"/>
      <c r="AK70" s="536"/>
      <c r="AL70" s="536"/>
      <c r="AM70" s="536"/>
      <c r="AN70" s="536"/>
      <c r="AO70" s="536"/>
      <c r="AP70" s="536"/>
      <c r="AQ70" s="536"/>
      <c r="AR70" s="536"/>
      <c r="AS70" s="536"/>
      <c r="AT70" s="536"/>
      <c r="AU70" s="536"/>
      <c r="AV70" s="536"/>
      <c r="AW70" s="536"/>
      <c r="AX70" s="536"/>
    </row>
    <row r="71" spans="7:50" x14ac:dyDescent="0.25">
      <c r="G71" s="590"/>
      <c r="H71" s="590"/>
      <c r="I71" s="590"/>
      <c r="J71" s="590"/>
      <c r="K71" s="590"/>
      <c r="L71" s="590"/>
      <c r="M71" s="590"/>
      <c r="N71" s="590"/>
      <c r="O71" s="590"/>
      <c r="P71" s="590"/>
      <c r="Q71" s="590"/>
      <c r="R71" s="590"/>
      <c r="S71" s="590"/>
      <c r="T71" s="590"/>
      <c r="U71" s="536"/>
      <c r="V71" s="536"/>
      <c r="W71" s="536"/>
      <c r="X71" s="536"/>
      <c r="Y71" s="536"/>
      <c r="Z71" s="536"/>
      <c r="AA71" s="536"/>
      <c r="AB71" s="536"/>
      <c r="AC71" s="536"/>
      <c r="AD71" s="536"/>
      <c r="AE71" s="536"/>
      <c r="AF71" s="536"/>
      <c r="AG71" s="536"/>
      <c r="AH71" s="536"/>
      <c r="AI71" s="536"/>
      <c r="AJ71" s="536"/>
      <c r="AK71" s="536"/>
      <c r="AL71" s="536"/>
      <c r="AM71" s="536"/>
      <c r="AN71" s="536"/>
      <c r="AO71" s="536"/>
      <c r="AP71" s="536"/>
      <c r="AQ71" s="536"/>
      <c r="AR71" s="536"/>
      <c r="AS71" s="536"/>
      <c r="AT71" s="536"/>
      <c r="AU71" s="536"/>
      <c r="AV71" s="536"/>
      <c r="AW71" s="536"/>
      <c r="AX71" s="536"/>
    </row>
    <row r="72" spans="7:50" x14ac:dyDescent="0.25">
      <c r="G72" s="590"/>
      <c r="H72" s="590"/>
      <c r="I72" s="590"/>
      <c r="J72" s="590"/>
      <c r="K72" s="590"/>
      <c r="L72" s="590"/>
      <c r="M72" s="590"/>
      <c r="N72" s="590"/>
      <c r="O72" s="590"/>
      <c r="P72" s="590"/>
      <c r="Q72" s="590"/>
      <c r="R72" s="590"/>
      <c r="S72" s="590"/>
      <c r="T72" s="590"/>
      <c r="U72" s="536"/>
      <c r="V72" s="536"/>
      <c r="W72" s="536"/>
      <c r="X72" s="536"/>
      <c r="Y72" s="536"/>
      <c r="Z72" s="536"/>
      <c r="AA72" s="536"/>
      <c r="AB72" s="536"/>
      <c r="AC72" s="536"/>
      <c r="AD72" s="536"/>
      <c r="AE72" s="536"/>
      <c r="AF72" s="536"/>
      <c r="AG72" s="536"/>
      <c r="AH72" s="536"/>
      <c r="AI72" s="536"/>
      <c r="AJ72" s="536"/>
      <c r="AK72" s="536"/>
      <c r="AL72" s="536"/>
      <c r="AM72" s="536"/>
      <c r="AN72" s="536"/>
      <c r="AO72" s="536"/>
      <c r="AP72" s="536"/>
      <c r="AQ72" s="536"/>
      <c r="AR72" s="536"/>
      <c r="AS72" s="536"/>
      <c r="AT72" s="536"/>
      <c r="AU72" s="536"/>
      <c r="AV72" s="536"/>
      <c r="AW72" s="536"/>
      <c r="AX72" s="536"/>
    </row>
    <row r="73" spans="7:50" x14ac:dyDescent="0.25">
      <c r="G73" s="590"/>
      <c r="H73" s="590"/>
      <c r="I73" s="590"/>
      <c r="J73" s="590"/>
      <c r="K73" s="590"/>
      <c r="L73" s="590"/>
      <c r="M73" s="590"/>
      <c r="N73" s="590"/>
      <c r="O73" s="590"/>
      <c r="P73" s="590"/>
      <c r="Q73" s="590"/>
      <c r="R73" s="590"/>
      <c r="S73" s="590"/>
      <c r="T73" s="590"/>
      <c r="U73" s="536"/>
      <c r="V73" s="536"/>
      <c r="W73" s="536"/>
      <c r="X73" s="536"/>
      <c r="Y73" s="536"/>
      <c r="Z73" s="536"/>
      <c r="AA73" s="536"/>
      <c r="AB73" s="536"/>
      <c r="AC73" s="536"/>
      <c r="AD73" s="536"/>
      <c r="AE73" s="536"/>
      <c r="AF73" s="536"/>
      <c r="AG73" s="536"/>
      <c r="AH73" s="536"/>
      <c r="AI73" s="536"/>
      <c r="AJ73" s="536"/>
      <c r="AK73" s="536"/>
      <c r="AL73" s="536"/>
      <c r="AM73" s="536"/>
      <c r="AN73" s="536"/>
      <c r="AO73" s="536"/>
      <c r="AP73" s="536"/>
      <c r="AQ73" s="536"/>
      <c r="AR73" s="536"/>
      <c r="AS73" s="536"/>
      <c r="AT73" s="536"/>
      <c r="AU73" s="536"/>
      <c r="AV73" s="536"/>
      <c r="AW73" s="536"/>
      <c r="AX73" s="536"/>
    </row>
    <row r="74" spans="7:50" x14ac:dyDescent="0.25">
      <c r="G74" s="590"/>
      <c r="H74" s="590"/>
      <c r="I74" s="590"/>
      <c r="J74" s="590"/>
      <c r="K74" s="590"/>
      <c r="L74" s="590"/>
      <c r="M74" s="590"/>
      <c r="N74" s="590"/>
      <c r="O74" s="590"/>
      <c r="P74" s="590"/>
      <c r="Q74" s="590"/>
      <c r="R74" s="590"/>
      <c r="S74" s="590"/>
      <c r="T74" s="590"/>
      <c r="U74" s="536"/>
      <c r="V74" s="536"/>
      <c r="W74" s="536"/>
      <c r="X74" s="536"/>
      <c r="Y74" s="536"/>
      <c r="Z74" s="536"/>
      <c r="AA74" s="536"/>
      <c r="AB74" s="536"/>
      <c r="AC74" s="536"/>
      <c r="AD74" s="536"/>
      <c r="AE74" s="536"/>
      <c r="AF74" s="536"/>
      <c r="AG74" s="536"/>
      <c r="AH74" s="536"/>
      <c r="AI74" s="536"/>
      <c r="AJ74" s="536"/>
      <c r="AK74" s="536"/>
      <c r="AL74" s="536"/>
      <c r="AM74" s="536"/>
      <c r="AN74" s="536"/>
      <c r="AO74" s="536"/>
      <c r="AP74" s="536"/>
      <c r="AQ74" s="536"/>
      <c r="AR74" s="536"/>
      <c r="AS74" s="536"/>
      <c r="AT74" s="536"/>
      <c r="AU74" s="536"/>
      <c r="AV74" s="536"/>
      <c r="AW74" s="536"/>
      <c r="AX74" s="536"/>
    </row>
    <row r="75" spans="7:50" x14ac:dyDescent="0.25">
      <c r="G75" s="590"/>
      <c r="H75" s="590"/>
      <c r="I75" s="590"/>
      <c r="J75" s="590"/>
      <c r="K75" s="590"/>
      <c r="L75" s="590"/>
      <c r="M75" s="590"/>
      <c r="N75" s="590"/>
      <c r="O75" s="590"/>
      <c r="P75" s="590"/>
      <c r="Q75" s="590"/>
      <c r="R75" s="590"/>
      <c r="S75" s="590"/>
      <c r="T75" s="590"/>
      <c r="U75" s="536"/>
      <c r="V75" s="536"/>
      <c r="W75" s="536"/>
      <c r="X75" s="536"/>
      <c r="Y75" s="536"/>
      <c r="Z75" s="536"/>
      <c r="AA75" s="536"/>
      <c r="AB75" s="536"/>
      <c r="AC75" s="536"/>
      <c r="AD75" s="536"/>
      <c r="AE75" s="536"/>
      <c r="AF75" s="536"/>
      <c r="AG75" s="536"/>
      <c r="AH75" s="536"/>
      <c r="AI75" s="536"/>
      <c r="AJ75" s="536"/>
      <c r="AK75" s="536"/>
      <c r="AL75" s="536"/>
      <c r="AM75" s="536"/>
      <c r="AN75" s="536"/>
      <c r="AO75" s="536"/>
      <c r="AP75" s="536"/>
      <c r="AQ75" s="536"/>
      <c r="AR75" s="536"/>
      <c r="AS75" s="536"/>
      <c r="AT75" s="536"/>
      <c r="AU75" s="536"/>
      <c r="AV75" s="536"/>
      <c r="AW75" s="536"/>
      <c r="AX75" s="536"/>
    </row>
    <row r="76" spans="7:50" x14ac:dyDescent="0.25">
      <c r="G76" s="590"/>
      <c r="H76" s="590"/>
      <c r="I76" s="590"/>
      <c r="J76" s="590"/>
      <c r="K76" s="590"/>
      <c r="L76" s="590"/>
      <c r="M76" s="590"/>
      <c r="N76" s="590"/>
      <c r="O76" s="590"/>
      <c r="P76" s="590"/>
      <c r="Q76" s="590"/>
      <c r="R76" s="590"/>
      <c r="S76" s="590"/>
      <c r="T76" s="590"/>
      <c r="U76" s="536"/>
      <c r="V76" s="536"/>
      <c r="W76" s="536"/>
      <c r="X76" s="536"/>
      <c r="Y76" s="536"/>
      <c r="Z76" s="536"/>
      <c r="AA76" s="536"/>
      <c r="AB76" s="536"/>
      <c r="AC76" s="536"/>
      <c r="AD76" s="536"/>
      <c r="AE76" s="536"/>
      <c r="AF76" s="536"/>
      <c r="AG76" s="536"/>
      <c r="AH76" s="536"/>
      <c r="AI76" s="536"/>
      <c r="AJ76" s="536"/>
      <c r="AK76" s="536"/>
      <c r="AL76" s="536"/>
      <c r="AM76" s="536"/>
      <c r="AN76" s="536"/>
      <c r="AO76" s="536"/>
      <c r="AP76" s="536"/>
      <c r="AQ76" s="536"/>
      <c r="AR76" s="536"/>
      <c r="AS76" s="536"/>
      <c r="AT76" s="536"/>
      <c r="AU76" s="536"/>
      <c r="AV76" s="536"/>
      <c r="AW76" s="536"/>
      <c r="AX76" s="536"/>
    </row>
    <row r="77" spans="7:50" x14ac:dyDescent="0.25">
      <c r="G77" s="590"/>
      <c r="H77" s="590"/>
      <c r="I77" s="590"/>
      <c r="J77" s="590"/>
      <c r="K77" s="590"/>
      <c r="L77" s="590"/>
      <c r="M77" s="590"/>
      <c r="N77" s="590"/>
      <c r="O77" s="590"/>
      <c r="P77" s="590"/>
      <c r="Q77" s="590"/>
      <c r="R77" s="590"/>
      <c r="S77" s="590"/>
      <c r="T77" s="590"/>
      <c r="U77" s="536"/>
      <c r="V77" s="536"/>
      <c r="W77" s="536"/>
      <c r="X77" s="536"/>
      <c r="Y77" s="536"/>
      <c r="Z77" s="536"/>
      <c r="AA77" s="536"/>
      <c r="AB77" s="536"/>
      <c r="AC77" s="536"/>
      <c r="AD77" s="536"/>
      <c r="AE77" s="536"/>
      <c r="AF77" s="536"/>
      <c r="AG77" s="536"/>
      <c r="AH77" s="536"/>
      <c r="AI77" s="536"/>
      <c r="AJ77" s="536"/>
      <c r="AK77" s="536"/>
      <c r="AL77" s="536"/>
      <c r="AM77" s="536"/>
      <c r="AN77" s="536"/>
      <c r="AO77" s="536"/>
      <c r="AP77" s="536"/>
      <c r="AQ77" s="536"/>
      <c r="AR77" s="536"/>
      <c r="AS77" s="536"/>
      <c r="AT77" s="536"/>
      <c r="AU77" s="536"/>
      <c r="AV77" s="536"/>
      <c r="AW77" s="536"/>
      <c r="AX77" s="536"/>
    </row>
    <row r="78" spans="7:50" x14ac:dyDescent="0.25">
      <c r="G78" s="590"/>
      <c r="H78" s="590"/>
      <c r="I78" s="590"/>
      <c r="J78" s="590"/>
      <c r="K78" s="590"/>
      <c r="L78" s="590"/>
      <c r="M78" s="590"/>
      <c r="N78" s="590"/>
      <c r="O78" s="590"/>
      <c r="P78" s="590"/>
      <c r="Q78" s="590"/>
      <c r="R78" s="590"/>
      <c r="S78" s="590"/>
      <c r="T78" s="590"/>
      <c r="U78" s="536"/>
      <c r="V78" s="536"/>
      <c r="W78" s="536"/>
      <c r="X78" s="536"/>
      <c r="Y78" s="536"/>
      <c r="Z78" s="536"/>
      <c r="AA78" s="536"/>
      <c r="AB78" s="536"/>
      <c r="AC78" s="536"/>
      <c r="AD78" s="536"/>
      <c r="AE78" s="536"/>
      <c r="AF78" s="536"/>
      <c r="AG78" s="536"/>
      <c r="AH78" s="536"/>
      <c r="AI78" s="536"/>
      <c r="AJ78" s="536"/>
      <c r="AK78" s="536"/>
      <c r="AL78" s="536"/>
      <c r="AM78" s="536"/>
      <c r="AN78" s="536"/>
      <c r="AO78" s="536"/>
      <c r="AP78" s="536"/>
      <c r="AQ78" s="536"/>
      <c r="AR78" s="536"/>
      <c r="AS78" s="536"/>
      <c r="AT78" s="536"/>
      <c r="AU78" s="536"/>
      <c r="AV78" s="536"/>
      <c r="AW78" s="536"/>
      <c r="AX78" s="536"/>
    </row>
    <row r="79" spans="7:50" x14ac:dyDescent="0.25">
      <c r="G79" s="590"/>
      <c r="H79" s="590"/>
      <c r="I79" s="590"/>
      <c r="J79" s="590"/>
      <c r="K79" s="590"/>
      <c r="L79" s="590"/>
      <c r="M79" s="590"/>
      <c r="N79" s="590"/>
      <c r="O79" s="590"/>
      <c r="P79" s="590"/>
      <c r="Q79" s="590"/>
      <c r="R79" s="590"/>
      <c r="S79" s="590"/>
      <c r="T79" s="590"/>
      <c r="U79" s="536"/>
      <c r="V79" s="536"/>
      <c r="W79" s="536"/>
      <c r="X79" s="536"/>
      <c r="Y79" s="536"/>
      <c r="Z79" s="536"/>
      <c r="AA79" s="536"/>
      <c r="AB79" s="536"/>
      <c r="AC79" s="536"/>
      <c r="AD79" s="536"/>
      <c r="AE79" s="536"/>
      <c r="AF79" s="536"/>
      <c r="AG79" s="536"/>
      <c r="AH79" s="536"/>
      <c r="AI79" s="536"/>
      <c r="AJ79" s="536"/>
      <c r="AK79" s="536"/>
      <c r="AL79" s="536"/>
      <c r="AM79" s="536"/>
      <c r="AN79" s="536"/>
      <c r="AO79" s="536"/>
      <c r="AP79" s="536"/>
      <c r="AQ79" s="536"/>
      <c r="AR79" s="536"/>
      <c r="AS79" s="536"/>
      <c r="AT79" s="536"/>
      <c r="AU79" s="536"/>
      <c r="AV79" s="536"/>
      <c r="AW79" s="536"/>
      <c r="AX79" s="536"/>
    </row>
    <row r="80" spans="7:50" x14ac:dyDescent="0.25">
      <c r="G80" s="590"/>
      <c r="H80" s="590"/>
      <c r="I80" s="590"/>
      <c r="J80" s="590"/>
      <c r="K80" s="590"/>
      <c r="L80" s="590"/>
      <c r="M80" s="590"/>
      <c r="N80" s="590"/>
      <c r="O80" s="590"/>
      <c r="P80" s="590"/>
      <c r="Q80" s="590"/>
      <c r="R80" s="590"/>
      <c r="S80" s="590"/>
      <c r="T80" s="590"/>
      <c r="U80" s="536"/>
      <c r="V80" s="536"/>
      <c r="W80" s="536"/>
      <c r="X80" s="536"/>
      <c r="Y80" s="536"/>
      <c r="Z80" s="536"/>
      <c r="AA80" s="536"/>
      <c r="AB80" s="536"/>
      <c r="AC80" s="536"/>
      <c r="AD80" s="536"/>
      <c r="AE80" s="536"/>
      <c r="AF80" s="536"/>
      <c r="AG80" s="536"/>
      <c r="AH80" s="536"/>
      <c r="AI80" s="536"/>
      <c r="AJ80" s="536"/>
      <c r="AK80" s="536"/>
      <c r="AL80" s="536"/>
      <c r="AM80" s="536"/>
      <c r="AN80" s="536"/>
      <c r="AO80" s="536"/>
      <c r="AP80" s="536"/>
      <c r="AQ80" s="536"/>
      <c r="AR80" s="536"/>
      <c r="AS80" s="536"/>
      <c r="AT80" s="536"/>
      <c r="AU80" s="536"/>
      <c r="AV80" s="536"/>
      <c r="AW80" s="536"/>
      <c r="AX80" s="536"/>
    </row>
    <row r="81" spans="7:50" x14ac:dyDescent="0.25">
      <c r="G81" s="590"/>
      <c r="H81" s="590"/>
      <c r="I81" s="590"/>
      <c r="J81" s="590"/>
      <c r="K81" s="590"/>
      <c r="L81" s="590"/>
      <c r="M81" s="590"/>
      <c r="N81" s="590"/>
      <c r="O81" s="590"/>
      <c r="P81" s="590"/>
      <c r="Q81" s="590"/>
      <c r="R81" s="590"/>
      <c r="S81" s="590"/>
      <c r="T81" s="590"/>
      <c r="U81" s="536"/>
      <c r="V81" s="536"/>
      <c r="W81" s="536"/>
      <c r="X81" s="536"/>
      <c r="Y81" s="536"/>
      <c r="Z81" s="536"/>
      <c r="AA81" s="536"/>
      <c r="AB81" s="536"/>
      <c r="AC81" s="536"/>
      <c r="AD81" s="536"/>
      <c r="AE81" s="536"/>
      <c r="AF81" s="536"/>
      <c r="AG81" s="536"/>
      <c r="AH81" s="536"/>
      <c r="AI81" s="536"/>
      <c r="AJ81" s="536"/>
      <c r="AK81" s="536"/>
      <c r="AL81" s="536"/>
      <c r="AM81" s="536"/>
      <c r="AN81" s="536"/>
      <c r="AO81" s="536"/>
      <c r="AP81" s="536"/>
      <c r="AQ81" s="536"/>
      <c r="AR81" s="536"/>
      <c r="AS81" s="536"/>
      <c r="AT81" s="536"/>
      <c r="AU81" s="536"/>
      <c r="AV81" s="536"/>
      <c r="AW81" s="536"/>
      <c r="AX81" s="536"/>
    </row>
    <row r="82" spans="7:50" x14ac:dyDescent="0.25">
      <c r="G82" s="590"/>
      <c r="H82" s="590"/>
      <c r="I82" s="590"/>
      <c r="J82" s="590"/>
      <c r="K82" s="590"/>
      <c r="L82" s="590"/>
      <c r="M82" s="590"/>
      <c r="N82" s="590"/>
      <c r="O82" s="590"/>
      <c r="P82" s="590"/>
      <c r="Q82" s="590"/>
      <c r="R82" s="590"/>
      <c r="S82" s="590"/>
      <c r="T82" s="590"/>
      <c r="U82" s="536"/>
      <c r="V82" s="536"/>
      <c r="W82" s="536"/>
      <c r="X82" s="536"/>
      <c r="Y82" s="536"/>
      <c r="Z82" s="536"/>
      <c r="AA82" s="536"/>
      <c r="AB82" s="536"/>
      <c r="AC82" s="536"/>
      <c r="AD82" s="536"/>
      <c r="AE82" s="536"/>
      <c r="AF82" s="536"/>
      <c r="AG82" s="536"/>
      <c r="AH82" s="536"/>
      <c r="AI82" s="536"/>
      <c r="AJ82" s="536"/>
      <c r="AK82" s="536"/>
      <c r="AL82" s="536"/>
      <c r="AM82" s="536"/>
      <c r="AN82" s="536"/>
      <c r="AO82" s="536"/>
      <c r="AP82" s="536"/>
      <c r="AQ82" s="536"/>
      <c r="AR82" s="536"/>
      <c r="AS82" s="536"/>
      <c r="AT82" s="536"/>
      <c r="AU82" s="536"/>
      <c r="AV82" s="536"/>
      <c r="AW82" s="536"/>
      <c r="AX82" s="536"/>
    </row>
    <row r="83" spans="7:50" x14ac:dyDescent="0.25">
      <c r="G83" s="590"/>
      <c r="H83" s="590"/>
      <c r="I83" s="590"/>
      <c r="J83" s="590"/>
      <c r="K83" s="590"/>
      <c r="L83" s="590"/>
      <c r="M83" s="590"/>
      <c r="N83" s="590"/>
      <c r="O83" s="590"/>
      <c r="P83" s="590"/>
      <c r="Q83" s="590"/>
      <c r="R83" s="590"/>
      <c r="S83" s="590"/>
      <c r="T83" s="590"/>
      <c r="U83" s="536"/>
      <c r="V83" s="536"/>
      <c r="W83" s="536"/>
      <c r="X83" s="536"/>
      <c r="Y83" s="536"/>
      <c r="Z83" s="536"/>
      <c r="AA83" s="536"/>
      <c r="AB83" s="536"/>
      <c r="AC83" s="536"/>
      <c r="AD83" s="536"/>
      <c r="AE83" s="536"/>
      <c r="AF83" s="536"/>
      <c r="AG83" s="536"/>
      <c r="AH83" s="536"/>
      <c r="AI83" s="536"/>
      <c r="AJ83" s="536"/>
      <c r="AK83" s="536"/>
      <c r="AL83" s="536"/>
      <c r="AM83" s="536"/>
      <c r="AN83" s="536"/>
      <c r="AO83" s="536"/>
      <c r="AP83" s="536"/>
      <c r="AQ83" s="536"/>
      <c r="AR83" s="536"/>
      <c r="AS83" s="536"/>
      <c r="AT83" s="536"/>
      <c r="AU83" s="536"/>
      <c r="AV83" s="536"/>
      <c r="AW83" s="536"/>
      <c r="AX83" s="536"/>
    </row>
    <row r="84" spans="7:50" x14ac:dyDescent="0.25">
      <c r="G84" s="590"/>
      <c r="H84" s="590"/>
      <c r="I84" s="590"/>
      <c r="J84" s="590"/>
      <c r="K84" s="590"/>
      <c r="L84" s="590"/>
      <c r="M84" s="590"/>
      <c r="N84" s="590"/>
      <c r="O84" s="590"/>
      <c r="P84" s="590"/>
      <c r="Q84" s="590"/>
      <c r="R84" s="590"/>
      <c r="S84" s="590"/>
      <c r="T84" s="590"/>
      <c r="U84" s="536"/>
      <c r="V84" s="536"/>
      <c r="W84" s="536"/>
      <c r="X84" s="536"/>
      <c r="Y84" s="536"/>
      <c r="Z84" s="536"/>
      <c r="AA84" s="536"/>
      <c r="AB84" s="536"/>
      <c r="AC84" s="536"/>
      <c r="AD84" s="536"/>
      <c r="AE84" s="536"/>
      <c r="AF84" s="536"/>
      <c r="AG84" s="536"/>
      <c r="AH84" s="536"/>
      <c r="AI84" s="536"/>
      <c r="AJ84" s="536"/>
      <c r="AK84" s="536"/>
      <c r="AL84" s="536"/>
      <c r="AM84" s="536"/>
      <c r="AN84" s="536"/>
      <c r="AO84" s="536"/>
      <c r="AP84" s="536"/>
      <c r="AQ84" s="536"/>
      <c r="AR84" s="536"/>
      <c r="AS84" s="536"/>
      <c r="AT84" s="536"/>
      <c r="AU84" s="536"/>
      <c r="AV84" s="536"/>
      <c r="AW84" s="536"/>
      <c r="AX84" s="536"/>
    </row>
    <row r="85" spans="7:50" x14ac:dyDescent="0.25">
      <c r="G85" s="590"/>
      <c r="H85" s="590"/>
      <c r="I85" s="590"/>
      <c r="J85" s="590"/>
      <c r="K85" s="590"/>
      <c r="L85" s="590"/>
      <c r="M85" s="590"/>
      <c r="N85" s="590"/>
      <c r="O85" s="590"/>
      <c r="P85" s="590"/>
      <c r="Q85" s="590"/>
      <c r="R85" s="590"/>
      <c r="S85" s="590"/>
      <c r="T85" s="590"/>
      <c r="U85" s="536"/>
      <c r="V85" s="536"/>
      <c r="W85" s="536"/>
      <c r="X85" s="536"/>
      <c r="Y85" s="536"/>
      <c r="Z85" s="536"/>
      <c r="AA85" s="536"/>
      <c r="AB85" s="536"/>
      <c r="AC85" s="536"/>
      <c r="AD85" s="536"/>
      <c r="AE85" s="536"/>
      <c r="AF85" s="536"/>
      <c r="AG85" s="536"/>
      <c r="AH85" s="536"/>
      <c r="AI85" s="536"/>
      <c r="AJ85" s="536"/>
      <c r="AK85" s="536"/>
      <c r="AL85" s="536"/>
      <c r="AM85" s="536"/>
      <c r="AN85" s="536"/>
      <c r="AO85" s="536"/>
      <c r="AP85" s="536"/>
      <c r="AQ85" s="536"/>
      <c r="AR85" s="536"/>
      <c r="AS85" s="536"/>
      <c r="AT85" s="536"/>
      <c r="AU85" s="536"/>
      <c r="AV85" s="536"/>
      <c r="AW85" s="536"/>
      <c r="AX85" s="536"/>
    </row>
    <row r="86" spans="7:50" x14ac:dyDescent="0.25">
      <c r="G86" s="590"/>
      <c r="H86" s="590"/>
      <c r="I86" s="590"/>
      <c r="J86" s="590"/>
      <c r="K86" s="590"/>
      <c r="L86" s="590"/>
      <c r="M86" s="590"/>
      <c r="N86" s="590"/>
      <c r="O86" s="590"/>
      <c r="P86" s="590"/>
      <c r="Q86" s="590"/>
      <c r="R86" s="590"/>
      <c r="S86" s="590"/>
      <c r="T86" s="590"/>
      <c r="U86" s="536"/>
      <c r="V86" s="536"/>
      <c r="W86" s="536"/>
      <c r="X86" s="536"/>
      <c r="Y86" s="536"/>
      <c r="Z86" s="536"/>
      <c r="AA86" s="536"/>
      <c r="AB86" s="536"/>
      <c r="AC86" s="536"/>
      <c r="AD86" s="536"/>
      <c r="AE86" s="536"/>
      <c r="AF86" s="536"/>
      <c r="AG86" s="536"/>
      <c r="AH86" s="536"/>
      <c r="AI86" s="536"/>
      <c r="AJ86" s="536"/>
      <c r="AK86" s="536"/>
      <c r="AL86" s="536"/>
      <c r="AM86" s="536"/>
      <c r="AN86" s="536"/>
      <c r="AO86" s="536"/>
      <c r="AP86" s="536"/>
      <c r="AQ86" s="536"/>
      <c r="AR86" s="536"/>
      <c r="AS86" s="536"/>
      <c r="AT86" s="536"/>
      <c r="AU86" s="536"/>
      <c r="AV86" s="536"/>
      <c r="AW86" s="536"/>
      <c r="AX86" s="536"/>
    </row>
    <row r="87" spans="7:50" x14ac:dyDescent="0.25">
      <c r="G87" s="590"/>
      <c r="H87" s="590"/>
      <c r="I87" s="590"/>
      <c r="J87" s="590"/>
      <c r="K87" s="590"/>
      <c r="L87" s="590"/>
      <c r="M87" s="590"/>
      <c r="N87" s="590"/>
      <c r="O87" s="590"/>
      <c r="P87" s="590"/>
      <c r="Q87" s="590"/>
      <c r="R87" s="590"/>
      <c r="S87" s="590"/>
      <c r="T87" s="590"/>
      <c r="U87" s="536"/>
      <c r="V87" s="536"/>
      <c r="W87" s="536"/>
      <c r="X87" s="536"/>
      <c r="Y87" s="536"/>
      <c r="Z87" s="536"/>
      <c r="AA87" s="536"/>
      <c r="AB87" s="536"/>
      <c r="AC87" s="536"/>
      <c r="AD87" s="536"/>
      <c r="AE87" s="536"/>
      <c r="AF87" s="536"/>
      <c r="AG87" s="536"/>
      <c r="AH87" s="536"/>
      <c r="AI87" s="536"/>
      <c r="AJ87" s="536"/>
      <c r="AK87" s="536"/>
      <c r="AL87" s="536"/>
      <c r="AM87" s="536"/>
      <c r="AN87" s="536"/>
      <c r="AO87" s="536"/>
      <c r="AP87" s="536"/>
      <c r="AQ87" s="536"/>
      <c r="AR87" s="536"/>
      <c r="AS87" s="536"/>
      <c r="AT87" s="536"/>
      <c r="AU87" s="536"/>
      <c r="AV87" s="536"/>
      <c r="AW87" s="536"/>
      <c r="AX87" s="536"/>
    </row>
    <row r="88" spans="7:50" x14ac:dyDescent="0.25">
      <c r="G88" s="590"/>
      <c r="H88" s="590"/>
      <c r="I88" s="590"/>
      <c r="J88" s="590"/>
      <c r="K88" s="590"/>
      <c r="L88" s="590"/>
      <c r="M88" s="590"/>
      <c r="N88" s="590"/>
      <c r="O88" s="590"/>
      <c r="P88" s="590"/>
      <c r="Q88" s="590"/>
      <c r="R88" s="590"/>
      <c r="S88" s="590"/>
      <c r="T88" s="590"/>
      <c r="U88" s="536"/>
      <c r="V88" s="536"/>
      <c r="W88" s="536"/>
      <c r="X88" s="536"/>
      <c r="Y88" s="536"/>
      <c r="Z88" s="536"/>
      <c r="AA88" s="536"/>
      <c r="AB88" s="536"/>
      <c r="AC88" s="536"/>
      <c r="AD88" s="536"/>
      <c r="AE88" s="536"/>
      <c r="AF88" s="536"/>
      <c r="AG88" s="536"/>
      <c r="AH88" s="536"/>
      <c r="AI88" s="536"/>
      <c r="AJ88" s="536"/>
      <c r="AK88" s="536"/>
      <c r="AL88" s="536"/>
      <c r="AM88" s="536"/>
      <c r="AN88" s="536"/>
      <c r="AO88" s="536"/>
      <c r="AP88" s="536"/>
      <c r="AQ88" s="536"/>
      <c r="AR88" s="536"/>
      <c r="AS88" s="536"/>
      <c r="AT88" s="536"/>
      <c r="AU88" s="536"/>
      <c r="AV88" s="536"/>
      <c r="AW88" s="536"/>
      <c r="AX88" s="536"/>
    </row>
    <row r="89" spans="7:50" x14ac:dyDescent="0.25">
      <c r="G89" s="590"/>
      <c r="H89" s="590"/>
      <c r="I89" s="590"/>
      <c r="J89" s="590"/>
      <c r="K89" s="590"/>
      <c r="L89" s="590"/>
      <c r="M89" s="590"/>
      <c r="N89" s="590"/>
      <c r="O89" s="590"/>
      <c r="P89" s="590"/>
      <c r="Q89" s="590"/>
      <c r="R89" s="590"/>
      <c r="S89" s="590"/>
      <c r="T89" s="590"/>
      <c r="U89" s="536"/>
      <c r="V89" s="536"/>
      <c r="W89" s="536"/>
      <c r="X89" s="536"/>
      <c r="Y89" s="536"/>
      <c r="Z89" s="536"/>
      <c r="AA89" s="536"/>
      <c r="AB89" s="536"/>
      <c r="AC89" s="536"/>
      <c r="AD89" s="536"/>
      <c r="AE89" s="536"/>
      <c r="AF89" s="536"/>
      <c r="AG89" s="536"/>
      <c r="AH89" s="536"/>
      <c r="AI89" s="536"/>
      <c r="AJ89" s="536"/>
      <c r="AK89" s="536"/>
      <c r="AL89" s="536"/>
      <c r="AM89" s="536"/>
      <c r="AN89" s="536"/>
      <c r="AO89" s="536"/>
      <c r="AP89" s="536"/>
      <c r="AQ89" s="536"/>
      <c r="AR89" s="536"/>
      <c r="AS89" s="536"/>
      <c r="AT89" s="536"/>
      <c r="AU89" s="536"/>
      <c r="AV89" s="536"/>
      <c r="AW89" s="536"/>
      <c r="AX89" s="536"/>
    </row>
    <row r="90" spans="7:50" x14ac:dyDescent="0.25">
      <c r="G90" s="590"/>
      <c r="H90" s="590"/>
      <c r="I90" s="590"/>
      <c r="J90" s="590"/>
      <c r="K90" s="590"/>
      <c r="L90" s="590"/>
      <c r="M90" s="590"/>
      <c r="N90" s="590"/>
      <c r="O90" s="590"/>
      <c r="P90" s="590"/>
      <c r="Q90" s="590"/>
      <c r="R90" s="590"/>
      <c r="S90" s="590"/>
      <c r="T90" s="590"/>
      <c r="U90" s="536"/>
      <c r="V90" s="536"/>
      <c r="W90" s="536"/>
      <c r="X90" s="536"/>
      <c r="Y90" s="536"/>
      <c r="Z90" s="536"/>
      <c r="AA90" s="536"/>
      <c r="AB90" s="536"/>
      <c r="AC90" s="536"/>
      <c r="AD90" s="536"/>
      <c r="AE90" s="536"/>
      <c r="AF90" s="536"/>
      <c r="AG90" s="536"/>
      <c r="AH90" s="536"/>
      <c r="AI90" s="536"/>
      <c r="AJ90" s="536"/>
      <c r="AK90" s="536"/>
      <c r="AL90" s="536"/>
      <c r="AM90" s="536"/>
      <c r="AN90" s="536"/>
      <c r="AO90" s="536"/>
      <c r="AP90" s="536"/>
      <c r="AQ90" s="536"/>
      <c r="AR90" s="536"/>
      <c r="AS90" s="536"/>
      <c r="AT90" s="536"/>
      <c r="AU90" s="536"/>
      <c r="AV90" s="536"/>
      <c r="AW90" s="536"/>
      <c r="AX90" s="536"/>
    </row>
    <row r="91" spans="7:50" x14ac:dyDescent="0.25">
      <c r="G91" s="590"/>
      <c r="H91" s="590"/>
      <c r="I91" s="590"/>
      <c r="J91" s="590"/>
      <c r="K91" s="590"/>
      <c r="L91" s="590"/>
      <c r="M91" s="590"/>
      <c r="N91" s="590"/>
      <c r="O91" s="590"/>
      <c r="P91" s="590"/>
      <c r="Q91" s="590"/>
      <c r="R91" s="590"/>
      <c r="S91" s="590"/>
      <c r="T91" s="590"/>
      <c r="U91" s="536"/>
      <c r="V91" s="536"/>
      <c r="W91" s="536"/>
      <c r="X91" s="536"/>
      <c r="Y91" s="536"/>
      <c r="Z91" s="536"/>
      <c r="AA91" s="536"/>
      <c r="AB91" s="536"/>
      <c r="AC91" s="536"/>
      <c r="AD91" s="536"/>
      <c r="AE91" s="536"/>
      <c r="AF91" s="536"/>
      <c r="AG91" s="536"/>
      <c r="AH91" s="536"/>
      <c r="AI91" s="536"/>
      <c r="AJ91" s="536"/>
      <c r="AK91" s="536"/>
      <c r="AL91" s="536"/>
      <c r="AM91" s="536"/>
      <c r="AN91" s="536"/>
      <c r="AO91" s="536"/>
      <c r="AP91" s="536"/>
      <c r="AQ91" s="536"/>
      <c r="AR91" s="536"/>
      <c r="AS91" s="536"/>
      <c r="AT91" s="536"/>
      <c r="AU91" s="536"/>
      <c r="AV91" s="536"/>
      <c r="AW91" s="536"/>
      <c r="AX91" s="536"/>
    </row>
    <row r="92" spans="7:50" x14ac:dyDescent="0.25">
      <c r="G92" s="590"/>
      <c r="H92" s="590"/>
      <c r="I92" s="590"/>
      <c r="J92" s="590"/>
      <c r="K92" s="590"/>
      <c r="L92" s="590"/>
      <c r="M92" s="590"/>
      <c r="N92" s="590"/>
      <c r="O92" s="590"/>
      <c r="P92" s="590"/>
      <c r="Q92" s="590"/>
      <c r="R92" s="590"/>
      <c r="S92" s="590"/>
      <c r="T92" s="590"/>
      <c r="U92" s="536"/>
      <c r="V92" s="536"/>
      <c r="W92" s="536"/>
      <c r="X92" s="536"/>
      <c r="Y92" s="536"/>
      <c r="Z92" s="536"/>
      <c r="AA92" s="536"/>
      <c r="AB92" s="536"/>
      <c r="AC92" s="536"/>
      <c r="AD92" s="536"/>
      <c r="AE92" s="536"/>
      <c r="AF92" s="536"/>
      <c r="AG92" s="536"/>
      <c r="AH92" s="536"/>
      <c r="AI92" s="536"/>
      <c r="AJ92" s="536"/>
      <c r="AK92" s="536"/>
      <c r="AL92" s="536"/>
      <c r="AM92" s="536"/>
      <c r="AN92" s="536"/>
      <c r="AO92" s="536"/>
      <c r="AP92" s="536"/>
      <c r="AQ92" s="536"/>
      <c r="AR92" s="536"/>
      <c r="AS92" s="536"/>
      <c r="AT92" s="536"/>
      <c r="AU92" s="536"/>
      <c r="AV92" s="536"/>
      <c r="AW92" s="536"/>
      <c r="AX92" s="536"/>
    </row>
    <row r="93" spans="7:50" x14ac:dyDescent="0.25">
      <c r="G93" s="590"/>
      <c r="H93" s="590"/>
      <c r="I93" s="590"/>
      <c r="J93" s="590"/>
      <c r="K93" s="590"/>
      <c r="L93" s="590"/>
      <c r="M93" s="590"/>
      <c r="N93" s="590"/>
      <c r="O93" s="590"/>
      <c r="P93" s="590"/>
      <c r="Q93" s="590"/>
      <c r="R93" s="590"/>
      <c r="S93" s="590"/>
      <c r="T93" s="590"/>
      <c r="U93" s="536"/>
      <c r="V93" s="536"/>
      <c r="W93" s="536"/>
      <c r="X93" s="536"/>
      <c r="Y93" s="536"/>
      <c r="Z93" s="536"/>
      <c r="AA93" s="536"/>
      <c r="AB93" s="536"/>
      <c r="AC93" s="536"/>
      <c r="AD93" s="536"/>
      <c r="AE93" s="536"/>
      <c r="AF93" s="536"/>
      <c r="AG93" s="536"/>
      <c r="AH93" s="536"/>
      <c r="AI93" s="536"/>
      <c r="AJ93" s="536"/>
      <c r="AK93" s="536"/>
      <c r="AL93" s="536"/>
      <c r="AM93" s="536"/>
      <c r="AN93" s="536"/>
      <c r="AO93" s="536"/>
      <c r="AP93" s="536"/>
      <c r="AQ93" s="536"/>
      <c r="AR93" s="536"/>
      <c r="AS93" s="536"/>
      <c r="AT93" s="536"/>
      <c r="AU93" s="536"/>
      <c r="AV93" s="536"/>
      <c r="AW93" s="536"/>
      <c r="AX93" s="536"/>
    </row>
    <row r="94" spans="7:50" x14ac:dyDescent="0.25">
      <c r="G94" s="590"/>
      <c r="H94" s="590"/>
      <c r="I94" s="590"/>
      <c r="J94" s="590"/>
      <c r="K94" s="590"/>
      <c r="L94" s="590"/>
      <c r="M94" s="590"/>
      <c r="N94" s="590"/>
      <c r="O94" s="590"/>
      <c r="P94" s="590"/>
      <c r="Q94" s="590"/>
      <c r="R94" s="590"/>
      <c r="S94" s="590"/>
      <c r="T94" s="590"/>
      <c r="U94" s="536"/>
      <c r="V94" s="536"/>
      <c r="W94" s="536"/>
      <c r="X94" s="536"/>
      <c r="Y94" s="536"/>
      <c r="Z94" s="536"/>
      <c r="AA94" s="536"/>
      <c r="AB94" s="536"/>
      <c r="AC94" s="536"/>
      <c r="AD94" s="536"/>
      <c r="AE94" s="536"/>
      <c r="AF94" s="536"/>
      <c r="AG94" s="536"/>
      <c r="AH94" s="536"/>
      <c r="AI94" s="536"/>
      <c r="AJ94" s="536"/>
      <c r="AK94" s="536"/>
      <c r="AL94" s="536"/>
      <c r="AM94" s="536"/>
      <c r="AN94" s="536"/>
      <c r="AO94" s="536"/>
      <c r="AP94" s="536"/>
      <c r="AQ94" s="536"/>
      <c r="AR94" s="536"/>
      <c r="AS94" s="536"/>
      <c r="AT94" s="536"/>
      <c r="AU94" s="536"/>
      <c r="AV94" s="536"/>
      <c r="AW94" s="536"/>
      <c r="AX94" s="536"/>
    </row>
    <row r="95" spans="7:50" x14ac:dyDescent="0.25">
      <c r="G95" s="590"/>
      <c r="H95" s="590"/>
      <c r="I95" s="590"/>
      <c r="J95" s="590"/>
      <c r="K95" s="590"/>
      <c r="L95" s="590"/>
      <c r="M95" s="590"/>
      <c r="N95" s="590"/>
      <c r="O95" s="590"/>
      <c r="P95" s="590"/>
      <c r="Q95" s="590"/>
      <c r="R95" s="590"/>
      <c r="S95" s="590"/>
      <c r="T95" s="590"/>
      <c r="U95" s="536"/>
      <c r="V95" s="536"/>
      <c r="W95" s="536"/>
      <c r="X95" s="536"/>
      <c r="Y95" s="536"/>
      <c r="Z95" s="536"/>
      <c r="AA95" s="536"/>
      <c r="AB95" s="536"/>
      <c r="AC95" s="536"/>
      <c r="AD95" s="536"/>
      <c r="AE95" s="536"/>
      <c r="AF95" s="536"/>
      <c r="AG95" s="536"/>
      <c r="AH95" s="536"/>
      <c r="AI95" s="536"/>
      <c r="AJ95" s="536"/>
      <c r="AK95" s="536"/>
      <c r="AL95" s="536"/>
      <c r="AM95" s="536"/>
      <c r="AN95" s="536"/>
      <c r="AO95" s="536"/>
      <c r="AP95" s="536"/>
      <c r="AQ95" s="536"/>
      <c r="AR95" s="536"/>
      <c r="AS95" s="536"/>
      <c r="AT95" s="536"/>
      <c r="AU95" s="536"/>
      <c r="AV95" s="536"/>
      <c r="AW95" s="536"/>
      <c r="AX95" s="536"/>
    </row>
    <row r="96" spans="7:50" x14ac:dyDescent="0.25">
      <c r="G96" s="590"/>
      <c r="H96" s="590"/>
      <c r="I96" s="590"/>
      <c r="J96" s="590"/>
      <c r="K96" s="590"/>
      <c r="L96" s="590"/>
      <c r="M96" s="590"/>
      <c r="N96" s="590"/>
      <c r="O96" s="590"/>
      <c r="P96" s="590"/>
      <c r="Q96" s="590"/>
      <c r="R96" s="590"/>
      <c r="S96" s="590"/>
      <c r="T96" s="590"/>
      <c r="U96" s="536"/>
      <c r="V96" s="536"/>
      <c r="W96" s="536"/>
      <c r="X96" s="536"/>
      <c r="Y96" s="536"/>
      <c r="Z96" s="536"/>
      <c r="AA96" s="536"/>
      <c r="AB96" s="536"/>
      <c r="AC96" s="536"/>
      <c r="AD96" s="536"/>
      <c r="AE96" s="536"/>
      <c r="AF96" s="536"/>
      <c r="AG96" s="536"/>
      <c r="AH96" s="536"/>
      <c r="AI96" s="536"/>
      <c r="AJ96" s="536"/>
      <c r="AK96" s="536"/>
      <c r="AL96" s="536"/>
      <c r="AM96" s="536"/>
      <c r="AN96" s="536"/>
      <c r="AO96" s="536"/>
      <c r="AP96" s="536"/>
      <c r="AQ96" s="536"/>
      <c r="AR96" s="536"/>
      <c r="AS96" s="536"/>
      <c r="AT96" s="536"/>
      <c r="AU96" s="536"/>
      <c r="AV96" s="536"/>
      <c r="AW96" s="536"/>
      <c r="AX96" s="536"/>
    </row>
    <row r="97" spans="7:50" x14ac:dyDescent="0.25">
      <c r="G97" s="590"/>
      <c r="H97" s="590"/>
      <c r="I97" s="590"/>
      <c r="J97" s="590"/>
      <c r="K97" s="590"/>
      <c r="L97" s="590"/>
      <c r="M97" s="590"/>
      <c r="N97" s="590"/>
      <c r="O97" s="590"/>
      <c r="P97" s="590"/>
      <c r="Q97" s="590"/>
      <c r="R97" s="590"/>
      <c r="S97" s="590"/>
      <c r="T97" s="590"/>
      <c r="U97" s="536"/>
      <c r="V97" s="536"/>
      <c r="W97" s="536"/>
      <c r="X97" s="536"/>
      <c r="Y97" s="536"/>
      <c r="Z97" s="536"/>
      <c r="AA97" s="536"/>
      <c r="AB97" s="536"/>
      <c r="AC97" s="536"/>
      <c r="AD97" s="536"/>
      <c r="AE97" s="536"/>
      <c r="AF97" s="536"/>
      <c r="AG97" s="536"/>
      <c r="AH97" s="536"/>
      <c r="AI97" s="536"/>
      <c r="AJ97" s="536"/>
      <c r="AK97" s="536"/>
      <c r="AL97" s="536"/>
      <c r="AM97" s="536"/>
      <c r="AN97" s="536"/>
      <c r="AO97" s="536"/>
      <c r="AP97" s="536"/>
      <c r="AQ97" s="536"/>
      <c r="AR97" s="536"/>
      <c r="AS97" s="536"/>
      <c r="AT97" s="536"/>
      <c r="AU97" s="536"/>
      <c r="AV97" s="536"/>
      <c r="AW97" s="536"/>
      <c r="AX97" s="536"/>
    </row>
    <row r="98" spans="7:50" x14ac:dyDescent="0.25">
      <c r="G98" s="590"/>
      <c r="H98" s="590"/>
      <c r="I98" s="590"/>
      <c r="J98" s="590"/>
      <c r="K98" s="590"/>
      <c r="L98" s="590"/>
      <c r="M98" s="590"/>
      <c r="N98" s="590"/>
      <c r="O98" s="590"/>
      <c r="P98" s="590"/>
      <c r="Q98" s="590"/>
      <c r="R98" s="590"/>
      <c r="S98" s="590"/>
      <c r="T98" s="590"/>
      <c r="U98" s="536"/>
      <c r="V98" s="536"/>
      <c r="W98" s="536"/>
      <c r="X98" s="536"/>
      <c r="Y98" s="536"/>
      <c r="Z98" s="536"/>
      <c r="AA98" s="536"/>
      <c r="AB98" s="536"/>
      <c r="AC98" s="536"/>
      <c r="AD98" s="536"/>
      <c r="AE98" s="536"/>
      <c r="AF98" s="536"/>
      <c r="AG98" s="536"/>
      <c r="AH98" s="536"/>
      <c r="AI98" s="536"/>
      <c r="AJ98" s="536"/>
      <c r="AK98" s="536"/>
      <c r="AL98" s="536"/>
      <c r="AM98" s="536"/>
      <c r="AN98" s="536"/>
      <c r="AO98" s="536"/>
      <c r="AP98" s="536"/>
      <c r="AQ98" s="536"/>
      <c r="AR98" s="536"/>
      <c r="AS98" s="536"/>
      <c r="AT98" s="536"/>
      <c r="AU98" s="536"/>
      <c r="AV98" s="536"/>
      <c r="AW98" s="536"/>
      <c r="AX98" s="536"/>
    </row>
    <row r="99" spans="7:50" x14ac:dyDescent="0.25">
      <c r="G99" s="590"/>
      <c r="H99" s="590"/>
      <c r="I99" s="590"/>
      <c r="J99" s="590"/>
      <c r="K99" s="590"/>
      <c r="L99" s="590"/>
      <c r="M99" s="590"/>
      <c r="N99" s="590"/>
      <c r="O99" s="590"/>
      <c r="P99" s="590"/>
      <c r="Q99" s="590"/>
      <c r="R99" s="590"/>
      <c r="S99" s="590"/>
      <c r="T99" s="590"/>
      <c r="U99" s="536"/>
      <c r="V99" s="536"/>
      <c r="W99" s="536"/>
      <c r="X99" s="536"/>
      <c r="Y99" s="536"/>
      <c r="Z99" s="536"/>
      <c r="AA99" s="536"/>
      <c r="AB99" s="536"/>
      <c r="AC99" s="536"/>
      <c r="AD99" s="536"/>
      <c r="AE99" s="536"/>
      <c r="AF99" s="536"/>
      <c r="AG99" s="536"/>
      <c r="AH99" s="536"/>
      <c r="AI99" s="536"/>
      <c r="AJ99" s="536"/>
      <c r="AK99" s="536"/>
      <c r="AL99" s="536"/>
      <c r="AM99" s="536"/>
      <c r="AN99" s="536"/>
      <c r="AO99" s="536"/>
      <c r="AP99" s="536"/>
      <c r="AQ99" s="536"/>
      <c r="AR99" s="536"/>
      <c r="AS99" s="536"/>
      <c r="AT99" s="536"/>
      <c r="AU99" s="536"/>
      <c r="AV99" s="536"/>
      <c r="AW99" s="536"/>
      <c r="AX99" s="536"/>
    </row>
    <row r="100" spans="7:50" x14ac:dyDescent="0.25">
      <c r="G100" s="590"/>
      <c r="H100" s="590"/>
      <c r="I100" s="590"/>
      <c r="J100" s="590"/>
      <c r="K100" s="590"/>
      <c r="L100" s="590"/>
      <c r="M100" s="590"/>
      <c r="N100" s="590"/>
      <c r="O100" s="590"/>
      <c r="P100" s="590"/>
      <c r="Q100" s="590"/>
      <c r="R100" s="590"/>
      <c r="S100" s="590"/>
      <c r="T100" s="590"/>
      <c r="U100" s="536"/>
      <c r="V100" s="536"/>
      <c r="W100" s="536"/>
      <c r="X100" s="536"/>
      <c r="Y100" s="536"/>
      <c r="Z100" s="536"/>
      <c r="AA100" s="536"/>
      <c r="AB100" s="536"/>
      <c r="AC100" s="536"/>
      <c r="AD100" s="536"/>
      <c r="AE100" s="536"/>
      <c r="AF100" s="536"/>
      <c r="AG100" s="536"/>
      <c r="AH100" s="536"/>
      <c r="AI100" s="536"/>
      <c r="AJ100" s="536"/>
      <c r="AK100" s="536"/>
      <c r="AL100" s="536"/>
      <c r="AM100" s="536"/>
      <c r="AN100" s="536"/>
      <c r="AO100" s="536"/>
      <c r="AP100" s="536"/>
      <c r="AQ100" s="536"/>
      <c r="AR100" s="536"/>
      <c r="AS100" s="536"/>
      <c r="AT100" s="536"/>
      <c r="AU100" s="536"/>
      <c r="AV100" s="536"/>
      <c r="AW100" s="536"/>
      <c r="AX100" s="536"/>
    </row>
    <row r="101" spans="7:50" x14ac:dyDescent="0.25">
      <c r="G101" s="590"/>
      <c r="H101" s="590"/>
      <c r="I101" s="590"/>
      <c r="J101" s="590"/>
      <c r="K101" s="590"/>
      <c r="L101" s="590"/>
      <c r="M101" s="590"/>
      <c r="N101" s="590"/>
      <c r="O101" s="590"/>
      <c r="P101" s="590"/>
      <c r="Q101" s="590"/>
      <c r="R101" s="590"/>
      <c r="S101" s="590"/>
      <c r="T101" s="590"/>
      <c r="U101" s="536"/>
      <c r="V101" s="536"/>
      <c r="W101" s="536"/>
      <c r="X101" s="536"/>
      <c r="Y101" s="536"/>
      <c r="Z101" s="536"/>
      <c r="AA101" s="536"/>
      <c r="AB101" s="536"/>
      <c r="AC101" s="536"/>
      <c r="AD101" s="536"/>
      <c r="AE101" s="536"/>
      <c r="AF101" s="536"/>
      <c r="AG101" s="536"/>
      <c r="AH101" s="536"/>
      <c r="AI101" s="536"/>
      <c r="AJ101" s="536"/>
      <c r="AK101" s="536"/>
      <c r="AL101" s="536"/>
      <c r="AM101" s="536"/>
      <c r="AN101" s="536"/>
      <c r="AO101" s="536"/>
      <c r="AP101" s="536"/>
      <c r="AQ101" s="536"/>
      <c r="AR101" s="536"/>
      <c r="AS101" s="536"/>
      <c r="AT101" s="536"/>
      <c r="AU101" s="536"/>
      <c r="AV101" s="536"/>
      <c r="AW101" s="536"/>
      <c r="AX101" s="536"/>
    </row>
    <row r="102" spans="7:50" x14ac:dyDescent="0.25">
      <c r="G102" s="590"/>
      <c r="H102" s="590"/>
      <c r="I102" s="590"/>
      <c r="J102" s="590"/>
      <c r="K102" s="590"/>
      <c r="L102" s="590"/>
      <c r="M102" s="590"/>
      <c r="N102" s="590"/>
      <c r="O102" s="590"/>
      <c r="P102" s="590"/>
      <c r="Q102" s="590"/>
      <c r="R102" s="590"/>
      <c r="S102" s="590"/>
      <c r="T102" s="590"/>
      <c r="U102" s="536"/>
      <c r="V102" s="536"/>
      <c r="W102" s="536"/>
      <c r="X102" s="536"/>
      <c r="Y102" s="536"/>
      <c r="Z102" s="536"/>
      <c r="AA102" s="536"/>
      <c r="AB102" s="536"/>
      <c r="AC102" s="536"/>
      <c r="AD102" s="536"/>
      <c r="AE102" s="536"/>
      <c r="AF102" s="536"/>
      <c r="AG102" s="536"/>
      <c r="AH102" s="536"/>
      <c r="AI102" s="536"/>
      <c r="AJ102" s="536"/>
      <c r="AK102" s="536"/>
      <c r="AL102" s="536"/>
      <c r="AM102" s="536"/>
      <c r="AN102" s="536"/>
      <c r="AO102" s="536"/>
      <c r="AP102" s="536"/>
      <c r="AQ102" s="536"/>
      <c r="AR102" s="536"/>
      <c r="AS102" s="536"/>
      <c r="AT102" s="536"/>
      <c r="AU102" s="536"/>
      <c r="AV102" s="536"/>
      <c r="AW102" s="536"/>
      <c r="AX102" s="536"/>
    </row>
    <row r="103" spans="7:50" x14ac:dyDescent="0.25">
      <c r="G103" s="590"/>
      <c r="H103" s="590"/>
      <c r="I103" s="590"/>
      <c r="J103" s="590"/>
      <c r="K103" s="590"/>
      <c r="L103" s="590"/>
      <c r="M103" s="590"/>
      <c r="N103" s="590"/>
      <c r="O103" s="590"/>
      <c r="P103" s="590"/>
      <c r="Q103" s="590"/>
      <c r="R103" s="590"/>
      <c r="S103" s="590"/>
      <c r="T103" s="590"/>
      <c r="U103" s="536"/>
      <c r="V103" s="536"/>
      <c r="W103" s="536"/>
      <c r="X103" s="536"/>
      <c r="Y103" s="536"/>
      <c r="Z103" s="536"/>
      <c r="AA103" s="536"/>
      <c r="AB103" s="536"/>
      <c r="AC103" s="536"/>
      <c r="AD103" s="536"/>
      <c r="AE103" s="536"/>
      <c r="AF103" s="536"/>
      <c r="AG103" s="536"/>
      <c r="AH103" s="536"/>
      <c r="AI103" s="536"/>
      <c r="AJ103" s="536"/>
      <c r="AK103" s="536"/>
      <c r="AL103" s="536"/>
      <c r="AM103" s="536"/>
      <c r="AN103" s="536"/>
      <c r="AO103" s="536"/>
      <c r="AP103" s="536"/>
      <c r="AQ103" s="536"/>
      <c r="AR103" s="536"/>
      <c r="AS103" s="536"/>
      <c r="AT103" s="536"/>
      <c r="AU103" s="536"/>
      <c r="AV103" s="536"/>
      <c r="AW103" s="536"/>
      <c r="AX103" s="536"/>
    </row>
    <row r="104" spans="7:50" x14ac:dyDescent="0.25">
      <c r="G104" s="590"/>
      <c r="H104" s="590"/>
      <c r="I104" s="590"/>
      <c r="J104" s="590"/>
      <c r="K104" s="590"/>
      <c r="L104" s="590"/>
      <c r="M104" s="590"/>
      <c r="N104" s="590"/>
      <c r="O104" s="590"/>
      <c r="P104" s="590"/>
      <c r="Q104" s="590"/>
      <c r="R104" s="590"/>
      <c r="S104" s="590"/>
      <c r="T104" s="590"/>
      <c r="U104" s="536"/>
      <c r="V104" s="536"/>
      <c r="W104" s="536"/>
      <c r="X104" s="536"/>
      <c r="Y104" s="536"/>
      <c r="Z104" s="536"/>
      <c r="AA104" s="536"/>
      <c r="AB104" s="536"/>
      <c r="AC104" s="536"/>
      <c r="AD104" s="536"/>
      <c r="AE104" s="536"/>
      <c r="AF104" s="536"/>
      <c r="AG104" s="536"/>
      <c r="AH104" s="536"/>
      <c r="AI104" s="536"/>
      <c r="AJ104" s="536"/>
      <c r="AK104" s="536"/>
      <c r="AL104" s="536"/>
      <c r="AM104" s="536"/>
      <c r="AN104" s="536"/>
      <c r="AO104" s="536"/>
      <c r="AP104" s="536"/>
      <c r="AQ104" s="536"/>
      <c r="AR104" s="536"/>
      <c r="AS104" s="536"/>
      <c r="AT104" s="536"/>
      <c r="AU104" s="536"/>
      <c r="AV104" s="536"/>
      <c r="AW104" s="536"/>
      <c r="AX104" s="536"/>
    </row>
    <row r="105" spans="7:50" x14ac:dyDescent="0.25">
      <c r="G105" s="590"/>
      <c r="H105" s="590"/>
      <c r="I105" s="590"/>
      <c r="J105" s="590"/>
      <c r="K105" s="590"/>
      <c r="L105" s="590"/>
      <c r="M105" s="590"/>
      <c r="N105" s="590"/>
      <c r="O105" s="590"/>
      <c r="P105" s="590"/>
      <c r="Q105" s="590"/>
      <c r="R105" s="590"/>
      <c r="S105" s="590"/>
      <c r="T105" s="590"/>
      <c r="U105" s="536"/>
      <c r="V105" s="536"/>
      <c r="W105" s="536"/>
      <c r="X105" s="536"/>
      <c r="Y105" s="536"/>
      <c r="Z105" s="536"/>
      <c r="AA105" s="536"/>
      <c r="AB105" s="536"/>
      <c r="AC105" s="536"/>
      <c r="AD105" s="536"/>
      <c r="AE105" s="536"/>
      <c r="AF105" s="536"/>
      <c r="AG105" s="536"/>
      <c r="AH105" s="536"/>
      <c r="AI105" s="536"/>
      <c r="AJ105" s="536"/>
      <c r="AK105" s="536"/>
      <c r="AL105" s="536"/>
      <c r="AM105" s="536"/>
      <c r="AN105" s="536"/>
      <c r="AO105" s="536"/>
      <c r="AP105" s="536"/>
      <c r="AQ105" s="536"/>
      <c r="AR105" s="536"/>
      <c r="AS105" s="536"/>
      <c r="AT105" s="536"/>
      <c r="AU105" s="536"/>
      <c r="AV105" s="536"/>
      <c r="AW105" s="536"/>
      <c r="AX105" s="536"/>
    </row>
    <row r="106" spans="7:50" x14ac:dyDescent="0.25">
      <c r="G106" s="590"/>
      <c r="H106" s="590"/>
      <c r="I106" s="590"/>
      <c r="J106" s="590"/>
      <c r="K106" s="590"/>
      <c r="L106" s="590"/>
      <c r="M106" s="590"/>
      <c r="N106" s="590"/>
      <c r="O106" s="590"/>
      <c r="P106" s="590"/>
      <c r="Q106" s="590"/>
      <c r="R106" s="590"/>
      <c r="S106" s="590"/>
      <c r="T106" s="590"/>
      <c r="U106" s="536"/>
      <c r="V106" s="536"/>
      <c r="W106" s="536"/>
      <c r="X106" s="536"/>
      <c r="Y106" s="536"/>
      <c r="Z106" s="536"/>
      <c r="AA106" s="536"/>
      <c r="AB106" s="536"/>
      <c r="AC106" s="536"/>
      <c r="AD106" s="536"/>
      <c r="AE106" s="536"/>
      <c r="AF106" s="536"/>
      <c r="AG106" s="536"/>
      <c r="AH106" s="536"/>
      <c r="AI106" s="536"/>
      <c r="AJ106" s="536"/>
      <c r="AK106" s="536"/>
      <c r="AL106" s="536"/>
      <c r="AM106" s="536"/>
      <c r="AN106" s="536"/>
      <c r="AO106" s="536"/>
      <c r="AP106" s="536"/>
      <c r="AQ106" s="536"/>
      <c r="AR106" s="536"/>
      <c r="AS106" s="536"/>
      <c r="AT106" s="536"/>
      <c r="AU106" s="536"/>
      <c r="AV106" s="536"/>
      <c r="AW106" s="536"/>
      <c r="AX106" s="536"/>
    </row>
    <row r="107" spans="7:50" x14ac:dyDescent="0.25">
      <c r="G107" s="590"/>
      <c r="H107" s="590"/>
      <c r="I107" s="590"/>
      <c r="J107" s="590"/>
      <c r="K107" s="590"/>
      <c r="L107" s="590"/>
      <c r="M107" s="590"/>
      <c r="N107" s="590"/>
      <c r="O107" s="590"/>
      <c r="P107" s="590"/>
      <c r="Q107" s="590"/>
      <c r="R107" s="590"/>
      <c r="S107" s="590"/>
      <c r="T107" s="590"/>
      <c r="U107" s="536"/>
      <c r="V107" s="536"/>
      <c r="W107" s="536"/>
      <c r="X107" s="536"/>
      <c r="Y107" s="536"/>
      <c r="Z107" s="536"/>
      <c r="AA107" s="536"/>
      <c r="AB107" s="536"/>
      <c r="AC107" s="536"/>
      <c r="AD107" s="536"/>
      <c r="AE107" s="536"/>
      <c r="AF107" s="536"/>
      <c r="AG107" s="536"/>
      <c r="AH107" s="536"/>
      <c r="AI107" s="536"/>
      <c r="AJ107" s="536"/>
      <c r="AK107" s="536"/>
      <c r="AL107" s="536"/>
      <c r="AM107" s="536"/>
      <c r="AN107" s="536"/>
      <c r="AO107" s="536"/>
      <c r="AP107" s="536"/>
      <c r="AQ107" s="536"/>
      <c r="AR107" s="536"/>
      <c r="AS107" s="536"/>
      <c r="AT107" s="536"/>
      <c r="AU107" s="536"/>
      <c r="AV107" s="536"/>
      <c r="AW107" s="536"/>
      <c r="AX107" s="536"/>
    </row>
    <row r="108" spans="7:50" x14ac:dyDescent="0.25">
      <c r="G108" s="590"/>
      <c r="H108" s="590"/>
      <c r="I108" s="590"/>
      <c r="J108" s="590"/>
      <c r="K108" s="590"/>
      <c r="L108" s="590"/>
      <c r="M108" s="590"/>
      <c r="N108" s="590"/>
      <c r="O108" s="590"/>
      <c r="P108" s="590"/>
      <c r="Q108" s="590"/>
      <c r="R108" s="590"/>
      <c r="S108" s="590"/>
      <c r="T108" s="590"/>
      <c r="U108" s="536"/>
      <c r="V108" s="536"/>
      <c r="W108" s="536"/>
      <c r="X108" s="536"/>
      <c r="Y108" s="536"/>
      <c r="Z108" s="536"/>
      <c r="AA108" s="536"/>
      <c r="AB108" s="536"/>
      <c r="AC108" s="536"/>
      <c r="AD108" s="536"/>
      <c r="AE108" s="536"/>
      <c r="AF108" s="536"/>
      <c r="AG108" s="536"/>
      <c r="AH108" s="536"/>
      <c r="AI108" s="536"/>
      <c r="AJ108" s="536"/>
      <c r="AK108" s="536"/>
      <c r="AL108" s="536"/>
      <c r="AM108" s="536"/>
      <c r="AN108" s="536"/>
      <c r="AO108" s="536"/>
      <c r="AP108" s="536"/>
      <c r="AQ108" s="536"/>
      <c r="AR108" s="536"/>
      <c r="AS108" s="536"/>
      <c r="AT108" s="536"/>
      <c r="AU108" s="536"/>
      <c r="AV108" s="536"/>
      <c r="AW108" s="536"/>
      <c r="AX108" s="536"/>
    </row>
    <row r="109" spans="7:50" x14ac:dyDescent="0.25">
      <c r="G109" s="590"/>
      <c r="H109" s="590"/>
      <c r="I109" s="590"/>
      <c r="J109" s="590"/>
      <c r="K109" s="590"/>
      <c r="L109" s="590"/>
      <c r="M109" s="590"/>
      <c r="N109" s="590"/>
      <c r="O109" s="590"/>
      <c r="P109" s="590"/>
      <c r="Q109" s="590"/>
      <c r="R109" s="590"/>
      <c r="S109" s="590"/>
      <c r="T109" s="590"/>
      <c r="U109" s="536"/>
      <c r="V109" s="536"/>
      <c r="W109" s="536"/>
      <c r="X109" s="536"/>
      <c r="Y109" s="536"/>
      <c r="Z109" s="536"/>
      <c r="AA109" s="536"/>
      <c r="AB109" s="536"/>
      <c r="AC109" s="536"/>
      <c r="AD109" s="536"/>
      <c r="AE109" s="536"/>
      <c r="AF109" s="536"/>
      <c r="AG109" s="536"/>
      <c r="AH109" s="536"/>
      <c r="AI109" s="536"/>
      <c r="AJ109" s="536"/>
      <c r="AK109" s="536"/>
      <c r="AL109" s="536"/>
      <c r="AM109" s="536"/>
      <c r="AN109" s="536"/>
      <c r="AO109" s="536"/>
      <c r="AP109" s="536"/>
      <c r="AQ109" s="536"/>
      <c r="AR109" s="536"/>
      <c r="AS109" s="536"/>
      <c r="AT109" s="536"/>
      <c r="AU109" s="536"/>
      <c r="AV109" s="536"/>
      <c r="AW109" s="536"/>
      <c r="AX109" s="536"/>
    </row>
    <row r="110" spans="7:50" x14ac:dyDescent="0.25">
      <c r="G110" s="590"/>
      <c r="H110" s="590"/>
      <c r="I110" s="590"/>
      <c r="J110" s="590"/>
      <c r="K110" s="590"/>
      <c r="L110" s="590"/>
      <c r="M110" s="590"/>
      <c r="N110" s="590"/>
      <c r="O110" s="590"/>
      <c r="P110" s="590"/>
      <c r="Q110" s="590"/>
      <c r="R110" s="590"/>
      <c r="S110" s="590"/>
      <c r="T110" s="590"/>
      <c r="U110" s="536"/>
      <c r="V110" s="536"/>
      <c r="W110" s="536"/>
      <c r="X110" s="536"/>
      <c r="Y110" s="536"/>
      <c r="Z110" s="536"/>
      <c r="AA110" s="536"/>
      <c r="AB110" s="536"/>
      <c r="AC110" s="536"/>
      <c r="AD110" s="536"/>
      <c r="AE110" s="536"/>
      <c r="AF110" s="536"/>
      <c r="AG110" s="536"/>
      <c r="AH110" s="536"/>
      <c r="AI110" s="536"/>
      <c r="AJ110" s="536"/>
      <c r="AK110" s="536"/>
      <c r="AL110" s="536"/>
      <c r="AM110" s="536"/>
      <c r="AN110" s="536"/>
      <c r="AO110" s="536"/>
      <c r="AP110" s="536"/>
      <c r="AQ110" s="536"/>
      <c r="AR110" s="536"/>
      <c r="AS110" s="536"/>
      <c r="AT110" s="536"/>
      <c r="AU110" s="536"/>
      <c r="AV110" s="536"/>
      <c r="AW110" s="536"/>
      <c r="AX110" s="536"/>
    </row>
    <row r="111" spans="7:50" x14ac:dyDescent="0.25">
      <c r="G111" s="590"/>
      <c r="H111" s="590"/>
      <c r="I111" s="590"/>
      <c r="J111" s="590"/>
      <c r="K111" s="590"/>
      <c r="L111" s="590"/>
      <c r="M111" s="590"/>
      <c r="N111" s="590"/>
      <c r="O111" s="590"/>
      <c r="P111" s="590"/>
      <c r="Q111" s="590"/>
      <c r="R111" s="590"/>
      <c r="S111" s="590"/>
      <c r="T111" s="590"/>
      <c r="U111" s="536"/>
      <c r="V111" s="536"/>
      <c r="W111" s="536"/>
      <c r="X111" s="536"/>
      <c r="Y111" s="536"/>
      <c r="Z111" s="536"/>
      <c r="AA111" s="536"/>
      <c r="AB111" s="536"/>
      <c r="AC111" s="536"/>
      <c r="AD111" s="536"/>
      <c r="AE111" s="536"/>
      <c r="AF111" s="536"/>
      <c r="AG111" s="536"/>
      <c r="AH111" s="536"/>
      <c r="AI111" s="536"/>
      <c r="AJ111" s="536"/>
      <c r="AK111" s="536"/>
      <c r="AL111" s="536"/>
      <c r="AM111" s="536"/>
      <c r="AN111" s="536"/>
      <c r="AO111" s="536"/>
      <c r="AP111" s="536"/>
      <c r="AQ111" s="536"/>
      <c r="AR111" s="536"/>
      <c r="AS111" s="536"/>
      <c r="AT111" s="536"/>
      <c r="AU111" s="536"/>
      <c r="AV111" s="536"/>
      <c r="AW111" s="536"/>
      <c r="AX111" s="536"/>
    </row>
    <row r="112" spans="7:50" x14ac:dyDescent="0.25">
      <c r="G112" s="590"/>
      <c r="H112" s="590"/>
      <c r="I112" s="590"/>
      <c r="J112" s="590"/>
      <c r="K112" s="590"/>
      <c r="L112" s="590"/>
      <c r="M112" s="590"/>
      <c r="N112" s="590"/>
      <c r="O112" s="590"/>
      <c r="P112" s="590"/>
      <c r="Q112" s="590"/>
      <c r="R112" s="590"/>
      <c r="S112" s="590"/>
      <c r="T112" s="590"/>
      <c r="U112" s="536"/>
      <c r="V112" s="536"/>
      <c r="W112" s="536"/>
      <c r="X112" s="536"/>
      <c r="Y112" s="536"/>
      <c r="Z112" s="536"/>
      <c r="AA112" s="536"/>
      <c r="AB112" s="536"/>
      <c r="AC112" s="536"/>
      <c r="AD112" s="536"/>
      <c r="AE112" s="536"/>
      <c r="AF112" s="536"/>
      <c r="AG112" s="536"/>
      <c r="AH112" s="536"/>
      <c r="AI112" s="536"/>
      <c r="AJ112" s="536"/>
      <c r="AK112" s="536"/>
      <c r="AL112" s="536"/>
      <c r="AM112" s="536"/>
      <c r="AN112" s="536"/>
      <c r="AO112" s="536"/>
      <c r="AP112" s="536"/>
      <c r="AQ112" s="536"/>
      <c r="AR112" s="536"/>
      <c r="AS112" s="536"/>
      <c r="AT112" s="536"/>
      <c r="AU112" s="536"/>
      <c r="AV112" s="536"/>
      <c r="AW112" s="536"/>
      <c r="AX112" s="536"/>
    </row>
    <row r="113" spans="7:50" x14ac:dyDescent="0.25">
      <c r="G113" s="590"/>
      <c r="H113" s="590"/>
      <c r="I113" s="590"/>
      <c r="J113" s="590"/>
      <c r="K113" s="590"/>
      <c r="L113" s="590"/>
      <c r="M113" s="590"/>
      <c r="N113" s="590"/>
      <c r="O113" s="590"/>
      <c r="P113" s="590"/>
      <c r="Q113" s="590"/>
      <c r="R113" s="590"/>
      <c r="S113" s="590"/>
      <c r="T113" s="590"/>
      <c r="U113" s="536"/>
      <c r="V113" s="536"/>
      <c r="W113" s="536"/>
      <c r="X113" s="536"/>
      <c r="Y113" s="536"/>
      <c r="Z113" s="536"/>
      <c r="AA113" s="536"/>
      <c r="AB113" s="536"/>
      <c r="AC113" s="536"/>
      <c r="AD113" s="536"/>
      <c r="AE113" s="536"/>
      <c r="AF113" s="536"/>
      <c r="AG113" s="536"/>
      <c r="AH113" s="536"/>
      <c r="AI113" s="536"/>
      <c r="AJ113" s="536"/>
      <c r="AK113" s="536"/>
      <c r="AL113" s="536"/>
      <c r="AM113" s="536"/>
      <c r="AN113" s="536"/>
      <c r="AO113" s="536"/>
      <c r="AP113" s="536"/>
      <c r="AQ113" s="536"/>
      <c r="AR113" s="536"/>
      <c r="AS113" s="536"/>
      <c r="AT113" s="536"/>
      <c r="AU113" s="536"/>
      <c r="AV113" s="536"/>
      <c r="AW113" s="536"/>
      <c r="AX113" s="536"/>
    </row>
    <row r="114" spans="7:50" x14ac:dyDescent="0.25">
      <c r="G114" s="536"/>
      <c r="H114" s="536"/>
      <c r="I114" s="536"/>
      <c r="J114" s="536"/>
      <c r="K114" s="536"/>
      <c r="L114" s="536"/>
      <c r="M114" s="536"/>
      <c r="N114" s="536"/>
      <c r="O114" s="536"/>
      <c r="P114" s="536"/>
      <c r="Q114" s="536"/>
      <c r="R114" s="536"/>
      <c r="S114" s="536"/>
      <c r="T114" s="536"/>
      <c r="U114" s="536"/>
      <c r="V114" s="536"/>
      <c r="W114" s="536"/>
      <c r="X114" s="536"/>
      <c r="Y114" s="536"/>
      <c r="Z114" s="536"/>
      <c r="AA114" s="536"/>
      <c r="AB114" s="536"/>
      <c r="AC114" s="536"/>
      <c r="AD114" s="536"/>
      <c r="AE114" s="536"/>
      <c r="AF114" s="536"/>
      <c r="AG114" s="536"/>
      <c r="AH114" s="536"/>
      <c r="AI114" s="536"/>
      <c r="AJ114" s="536"/>
      <c r="AK114" s="536"/>
      <c r="AL114" s="536"/>
      <c r="AM114" s="536"/>
      <c r="AN114" s="536"/>
      <c r="AO114" s="536"/>
      <c r="AP114" s="536"/>
      <c r="AQ114" s="536"/>
      <c r="AR114" s="536"/>
      <c r="AS114" s="536"/>
      <c r="AT114" s="536"/>
      <c r="AU114" s="536"/>
      <c r="AV114" s="536"/>
      <c r="AW114" s="536"/>
      <c r="AX114" s="536"/>
    </row>
    <row r="115" spans="7:50" x14ac:dyDescent="0.25">
      <c r="G115" s="536"/>
      <c r="H115" s="536"/>
      <c r="I115" s="536"/>
      <c r="J115" s="536"/>
      <c r="K115" s="536"/>
      <c r="L115" s="536"/>
      <c r="M115" s="536"/>
      <c r="N115" s="536"/>
      <c r="O115" s="536"/>
      <c r="P115" s="536"/>
      <c r="Q115" s="536"/>
      <c r="R115" s="536"/>
      <c r="S115" s="536"/>
      <c r="T115" s="536"/>
      <c r="U115" s="536"/>
      <c r="V115" s="536"/>
      <c r="W115" s="536"/>
      <c r="X115" s="536"/>
      <c r="Y115" s="536"/>
      <c r="Z115" s="536"/>
      <c r="AA115" s="536"/>
      <c r="AB115" s="536"/>
      <c r="AC115" s="536"/>
      <c r="AD115" s="536"/>
      <c r="AE115" s="536"/>
      <c r="AF115" s="536"/>
      <c r="AG115" s="536"/>
      <c r="AH115" s="536"/>
      <c r="AI115" s="536"/>
      <c r="AJ115" s="536"/>
      <c r="AK115" s="536"/>
      <c r="AL115" s="536"/>
      <c r="AM115" s="536"/>
      <c r="AN115" s="536"/>
      <c r="AO115" s="536"/>
      <c r="AP115" s="536"/>
      <c r="AQ115" s="536"/>
      <c r="AR115" s="536"/>
      <c r="AS115" s="536"/>
      <c r="AT115" s="536"/>
      <c r="AU115" s="536"/>
      <c r="AV115" s="536"/>
      <c r="AW115" s="536"/>
      <c r="AX115" s="536"/>
    </row>
    <row r="116" spans="7:50" x14ac:dyDescent="0.25">
      <c r="G116" s="536"/>
      <c r="H116" s="536"/>
      <c r="I116" s="536"/>
      <c r="J116" s="536"/>
      <c r="K116" s="536"/>
      <c r="L116" s="536"/>
      <c r="M116" s="536"/>
      <c r="N116" s="536"/>
      <c r="O116" s="536"/>
      <c r="P116" s="536"/>
      <c r="Q116" s="536"/>
      <c r="R116" s="536"/>
      <c r="S116" s="536"/>
      <c r="T116" s="536"/>
      <c r="U116" s="536"/>
      <c r="V116" s="536"/>
      <c r="W116" s="536"/>
      <c r="X116" s="536"/>
      <c r="Y116" s="536"/>
      <c r="Z116" s="536"/>
      <c r="AA116" s="536"/>
      <c r="AB116" s="536"/>
      <c r="AC116" s="536"/>
      <c r="AD116" s="536"/>
      <c r="AE116" s="536"/>
      <c r="AF116" s="536"/>
      <c r="AG116" s="536"/>
      <c r="AH116" s="536"/>
      <c r="AI116" s="536"/>
      <c r="AJ116" s="536"/>
      <c r="AK116" s="536"/>
      <c r="AL116" s="536"/>
      <c r="AM116" s="536"/>
      <c r="AN116" s="536"/>
      <c r="AO116" s="536"/>
      <c r="AP116" s="536"/>
      <c r="AQ116" s="536"/>
      <c r="AR116" s="536"/>
      <c r="AS116" s="536"/>
      <c r="AT116" s="536"/>
      <c r="AU116" s="536"/>
      <c r="AV116" s="536"/>
      <c r="AW116" s="536"/>
      <c r="AX116" s="536"/>
    </row>
    <row r="117" spans="7:50" x14ac:dyDescent="0.25">
      <c r="G117" s="536"/>
      <c r="H117" s="536"/>
      <c r="I117" s="536"/>
      <c r="J117" s="536"/>
      <c r="K117" s="536"/>
      <c r="L117" s="536"/>
      <c r="M117" s="536"/>
      <c r="N117" s="536"/>
      <c r="O117" s="536"/>
      <c r="P117" s="536"/>
      <c r="Q117" s="536"/>
      <c r="R117" s="536"/>
      <c r="S117" s="536"/>
      <c r="T117" s="536"/>
      <c r="U117" s="536"/>
      <c r="V117" s="536"/>
      <c r="W117" s="536"/>
      <c r="X117" s="536"/>
      <c r="Y117" s="536"/>
      <c r="Z117" s="536"/>
      <c r="AA117" s="536"/>
      <c r="AB117" s="536"/>
      <c r="AC117" s="536"/>
      <c r="AD117" s="536"/>
      <c r="AE117" s="536"/>
      <c r="AF117" s="536"/>
      <c r="AG117" s="536"/>
      <c r="AH117" s="536"/>
      <c r="AI117" s="536"/>
      <c r="AJ117" s="536"/>
      <c r="AK117" s="536"/>
      <c r="AL117" s="536"/>
      <c r="AM117" s="536"/>
      <c r="AN117" s="536"/>
      <c r="AO117" s="536"/>
      <c r="AP117" s="536"/>
      <c r="AQ117" s="536"/>
      <c r="AR117" s="536"/>
      <c r="AS117" s="536"/>
      <c r="AT117" s="536"/>
      <c r="AU117" s="536"/>
      <c r="AV117" s="536"/>
      <c r="AW117" s="536"/>
      <c r="AX117" s="536"/>
    </row>
    <row r="118" spans="7:50" x14ac:dyDescent="0.25">
      <c r="G118" s="536"/>
      <c r="H118" s="536"/>
      <c r="I118" s="536"/>
      <c r="J118" s="536"/>
      <c r="K118" s="536"/>
      <c r="L118" s="536"/>
      <c r="M118" s="536"/>
      <c r="N118" s="536"/>
      <c r="O118" s="536"/>
      <c r="P118" s="536"/>
      <c r="Q118" s="536"/>
      <c r="R118" s="536"/>
      <c r="S118" s="536"/>
      <c r="T118" s="536"/>
      <c r="U118" s="536"/>
      <c r="V118" s="536"/>
      <c r="W118" s="536"/>
      <c r="X118" s="536"/>
      <c r="Y118" s="536"/>
      <c r="Z118" s="536"/>
      <c r="AA118" s="536"/>
      <c r="AB118" s="536"/>
      <c r="AC118" s="536"/>
      <c r="AD118" s="536"/>
      <c r="AE118" s="536"/>
      <c r="AF118" s="536"/>
      <c r="AG118" s="536"/>
      <c r="AH118" s="536"/>
      <c r="AI118" s="536"/>
      <c r="AJ118" s="536"/>
      <c r="AK118" s="536"/>
      <c r="AL118" s="536"/>
      <c r="AM118" s="536"/>
      <c r="AN118" s="536"/>
      <c r="AO118" s="536"/>
      <c r="AP118" s="536"/>
      <c r="AQ118" s="536"/>
      <c r="AR118" s="536"/>
      <c r="AS118" s="536"/>
      <c r="AT118" s="536"/>
      <c r="AU118" s="536"/>
      <c r="AV118" s="536"/>
      <c r="AW118" s="536"/>
      <c r="AX118" s="536"/>
    </row>
    <row r="119" spans="7:50" x14ac:dyDescent="0.25">
      <c r="G119" s="536"/>
      <c r="H119" s="536"/>
      <c r="I119" s="536"/>
      <c r="J119" s="536"/>
      <c r="K119" s="536"/>
      <c r="L119" s="536"/>
      <c r="M119" s="536"/>
      <c r="N119" s="536"/>
      <c r="O119" s="536"/>
      <c r="P119" s="536"/>
      <c r="Q119" s="536"/>
      <c r="R119" s="536"/>
      <c r="S119" s="536"/>
      <c r="T119" s="536"/>
      <c r="U119" s="536"/>
      <c r="V119" s="536"/>
      <c r="W119" s="536"/>
      <c r="X119" s="536"/>
      <c r="Y119" s="536"/>
      <c r="Z119" s="536"/>
      <c r="AA119" s="536"/>
      <c r="AB119" s="536"/>
      <c r="AC119" s="536"/>
      <c r="AD119" s="536"/>
      <c r="AE119" s="536"/>
      <c r="AF119" s="536"/>
      <c r="AG119" s="536"/>
      <c r="AH119" s="536"/>
      <c r="AI119" s="536"/>
      <c r="AJ119" s="536"/>
      <c r="AK119" s="536"/>
      <c r="AL119" s="536"/>
      <c r="AM119" s="536"/>
      <c r="AN119" s="536"/>
      <c r="AO119" s="536"/>
      <c r="AP119" s="536"/>
      <c r="AQ119" s="536"/>
      <c r="AR119" s="536"/>
      <c r="AS119" s="536"/>
      <c r="AT119" s="536"/>
      <c r="AU119" s="536"/>
      <c r="AV119" s="536"/>
      <c r="AW119" s="536"/>
      <c r="AX119" s="536"/>
    </row>
    <row r="120" spans="7:50" x14ac:dyDescent="0.25">
      <c r="G120" s="536"/>
      <c r="H120" s="536"/>
      <c r="I120" s="536"/>
      <c r="J120" s="536"/>
      <c r="K120" s="536"/>
      <c r="L120" s="536"/>
      <c r="M120" s="536"/>
      <c r="N120" s="536"/>
      <c r="O120" s="536"/>
      <c r="P120" s="536"/>
      <c r="Q120" s="536"/>
      <c r="R120" s="536"/>
      <c r="S120" s="536"/>
      <c r="T120" s="536"/>
      <c r="U120" s="536"/>
      <c r="V120" s="536"/>
      <c r="W120" s="536"/>
      <c r="X120" s="536"/>
      <c r="Y120" s="536"/>
      <c r="Z120" s="536"/>
      <c r="AA120" s="536"/>
      <c r="AB120" s="536"/>
      <c r="AC120" s="536"/>
      <c r="AD120" s="536"/>
      <c r="AE120" s="536"/>
      <c r="AF120" s="536"/>
      <c r="AG120" s="536"/>
      <c r="AH120" s="536"/>
      <c r="AI120" s="536"/>
      <c r="AJ120" s="536"/>
      <c r="AK120" s="536"/>
      <c r="AL120" s="536"/>
      <c r="AM120" s="536"/>
      <c r="AN120" s="536"/>
      <c r="AO120" s="536"/>
      <c r="AP120" s="536"/>
      <c r="AQ120" s="536"/>
      <c r="AR120" s="536"/>
      <c r="AS120" s="536"/>
      <c r="AT120" s="536"/>
      <c r="AU120" s="536"/>
      <c r="AV120" s="536"/>
      <c r="AW120" s="536"/>
      <c r="AX120" s="536"/>
    </row>
    <row r="121" spans="7:50" x14ac:dyDescent="0.25">
      <c r="G121" s="536"/>
      <c r="H121" s="536"/>
      <c r="I121" s="536"/>
      <c r="J121" s="536"/>
      <c r="K121" s="536"/>
      <c r="L121" s="536"/>
      <c r="M121" s="536"/>
      <c r="N121" s="536"/>
      <c r="O121" s="536"/>
      <c r="P121" s="536"/>
      <c r="Q121" s="536"/>
      <c r="R121" s="536"/>
      <c r="S121" s="536"/>
      <c r="T121" s="536"/>
      <c r="U121" s="536"/>
      <c r="V121" s="536"/>
      <c r="W121" s="536"/>
      <c r="X121" s="536"/>
      <c r="Y121" s="536"/>
      <c r="Z121" s="536"/>
      <c r="AA121" s="536"/>
      <c r="AB121" s="536"/>
      <c r="AC121" s="536"/>
      <c r="AD121" s="536"/>
      <c r="AE121" s="536"/>
      <c r="AF121" s="536"/>
      <c r="AG121" s="536"/>
      <c r="AH121" s="536"/>
      <c r="AI121" s="536"/>
      <c r="AJ121" s="536"/>
      <c r="AK121" s="536"/>
      <c r="AL121" s="536"/>
      <c r="AM121" s="536"/>
      <c r="AN121" s="536"/>
      <c r="AO121" s="536"/>
      <c r="AP121" s="536"/>
      <c r="AQ121" s="536"/>
      <c r="AR121" s="536"/>
      <c r="AS121" s="536"/>
      <c r="AT121" s="536"/>
      <c r="AU121" s="536"/>
      <c r="AV121" s="536"/>
      <c r="AW121" s="536"/>
      <c r="AX121" s="536"/>
    </row>
    <row r="122" spans="7:50" x14ac:dyDescent="0.25">
      <c r="G122" s="536"/>
      <c r="H122" s="536"/>
      <c r="I122" s="536"/>
      <c r="J122" s="536"/>
      <c r="K122" s="536"/>
      <c r="L122" s="536"/>
      <c r="M122" s="536"/>
      <c r="N122" s="536"/>
      <c r="O122" s="536"/>
      <c r="P122" s="536"/>
      <c r="Q122" s="536"/>
      <c r="R122" s="536"/>
      <c r="S122" s="536"/>
      <c r="T122" s="536"/>
      <c r="U122" s="536"/>
      <c r="V122" s="536"/>
      <c r="W122" s="536"/>
      <c r="X122" s="536"/>
      <c r="Y122" s="536"/>
      <c r="Z122" s="536"/>
      <c r="AA122" s="536"/>
      <c r="AB122" s="536"/>
      <c r="AC122" s="536"/>
      <c r="AD122" s="536"/>
      <c r="AE122" s="536"/>
      <c r="AF122" s="536"/>
      <c r="AG122" s="536"/>
      <c r="AH122" s="536"/>
      <c r="AI122" s="536"/>
      <c r="AJ122" s="536"/>
      <c r="AK122" s="536"/>
      <c r="AL122" s="536"/>
      <c r="AM122" s="536"/>
      <c r="AN122" s="536"/>
      <c r="AO122" s="536"/>
      <c r="AP122" s="536"/>
      <c r="AQ122" s="536"/>
      <c r="AR122" s="536"/>
      <c r="AS122" s="536"/>
      <c r="AT122" s="536"/>
      <c r="AU122" s="536"/>
      <c r="AV122" s="536"/>
      <c r="AW122" s="536"/>
      <c r="AX122" s="536"/>
    </row>
    <row r="123" spans="7:50" x14ac:dyDescent="0.25">
      <c r="G123" s="536"/>
      <c r="H123" s="536"/>
      <c r="I123" s="536"/>
      <c r="J123" s="536"/>
      <c r="K123" s="536"/>
      <c r="L123" s="536"/>
      <c r="M123" s="536"/>
      <c r="N123" s="536"/>
      <c r="O123" s="536"/>
      <c r="P123" s="536"/>
      <c r="Q123" s="536"/>
      <c r="R123" s="536"/>
      <c r="S123" s="536"/>
      <c r="T123" s="536"/>
      <c r="U123" s="536"/>
      <c r="V123" s="536"/>
      <c r="W123" s="536"/>
      <c r="X123" s="536"/>
      <c r="Y123" s="536"/>
      <c r="Z123" s="536"/>
      <c r="AA123" s="536"/>
      <c r="AB123" s="536"/>
      <c r="AC123" s="536"/>
      <c r="AD123" s="536"/>
      <c r="AE123" s="536"/>
      <c r="AF123" s="536"/>
      <c r="AG123" s="536"/>
      <c r="AH123" s="536"/>
      <c r="AI123" s="536"/>
      <c r="AJ123" s="536"/>
      <c r="AK123" s="536"/>
      <c r="AL123" s="536"/>
      <c r="AM123" s="536"/>
      <c r="AN123" s="536"/>
      <c r="AO123" s="536"/>
      <c r="AP123" s="536"/>
      <c r="AQ123" s="536"/>
      <c r="AR123" s="536"/>
      <c r="AS123" s="536"/>
      <c r="AT123" s="536"/>
      <c r="AU123" s="536"/>
      <c r="AV123" s="536"/>
      <c r="AW123" s="536"/>
      <c r="AX123" s="536"/>
    </row>
    <row r="124" spans="7:50" x14ac:dyDescent="0.25">
      <c r="G124" s="536"/>
      <c r="H124" s="536"/>
      <c r="I124" s="536"/>
      <c r="J124" s="536"/>
      <c r="K124" s="536"/>
      <c r="L124" s="536"/>
      <c r="M124" s="536"/>
      <c r="N124" s="536"/>
      <c r="O124" s="536"/>
      <c r="P124" s="536"/>
      <c r="Q124" s="536"/>
      <c r="R124" s="536"/>
      <c r="S124" s="536"/>
      <c r="T124" s="536"/>
      <c r="U124" s="536"/>
      <c r="V124" s="536"/>
      <c r="W124" s="536"/>
      <c r="X124" s="536"/>
      <c r="Y124" s="536"/>
      <c r="Z124" s="536"/>
      <c r="AA124" s="536"/>
      <c r="AB124" s="536"/>
      <c r="AC124" s="536"/>
      <c r="AD124" s="536"/>
      <c r="AE124" s="536"/>
      <c r="AF124" s="536"/>
      <c r="AG124" s="536"/>
      <c r="AH124" s="536"/>
      <c r="AI124" s="536"/>
      <c r="AJ124" s="536"/>
      <c r="AK124" s="536"/>
      <c r="AL124" s="536"/>
      <c r="AM124" s="536"/>
      <c r="AN124" s="536"/>
      <c r="AO124" s="536"/>
      <c r="AP124" s="536"/>
      <c r="AQ124" s="536"/>
      <c r="AR124" s="536"/>
      <c r="AS124" s="536"/>
      <c r="AT124" s="536"/>
      <c r="AU124" s="536"/>
      <c r="AV124" s="536"/>
      <c r="AW124" s="536"/>
      <c r="AX124" s="536"/>
    </row>
    <row r="125" spans="7:50" x14ac:dyDescent="0.25">
      <c r="G125" s="536"/>
      <c r="H125" s="536"/>
      <c r="I125" s="536"/>
      <c r="J125" s="536"/>
      <c r="K125" s="536"/>
      <c r="L125" s="536"/>
      <c r="M125" s="536"/>
      <c r="N125" s="536"/>
      <c r="O125" s="536"/>
      <c r="P125" s="536"/>
      <c r="Q125" s="536"/>
      <c r="R125" s="536"/>
      <c r="S125" s="536"/>
      <c r="T125" s="536"/>
      <c r="U125" s="536"/>
      <c r="V125" s="536"/>
      <c r="W125" s="536"/>
      <c r="X125" s="536"/>
      <c r="Y125" s="536"/>
      <c r="Z125" s="536"/>
      <c r="AA125" s="536"/>
      <c r="AB125" s="536"/>
      <c r="AC125" s="536"/>
      <c r="AD125" s="536"/>
      <c r="AE125" s="536"/>
      <c r="AF125" s="536"/>
      <c r="AG125" s="536"/>
      <c r="AH125" s="536"/>
      <c r="AI125" s="536"/>
      <c r="AJ125" s="536"/>
      <c r="AK125" s="536"/>
      <c r="AL125" s="536"/>
      <c r="AM125" s="536"/>
      <c r="AN125" s="536"/>
      <c r="AO125" s="536"/>
      <c r="AP125" s="536"/>
      <c r="AQ125" s="536"/>
      <c r="AR125" s="536"/>
      <c r="AS125" s="536"/>
      <c r="AT125" s="536"/>
      <c r="AU125" s="536"/>
      <c r="AV125" s="536"/>
      <c r="AW125" s="536"/>
      <c r="AX125" s="536"/>
    </row>
    <row r="126" spans="7:50" x14ac:dyDescent="0.25">
      <c r="G126" s="536"/>
      <c r="H126" s="536"/>
      <c r="I126" s="536"/>
      <c r="J126" s="536"/>
      <c r="K126" s="536"/>
      <c r="L126" s="536"/>
      <c r="M126" s="536"/>
      <c r="N126" s="536"/>
      <c r="O126" s="536"/>
      <c r="P126" s="536"/>
      <c r="Q126" s="536"/>
      <c r="R126" s="536"/>
      <c r="S126" s="536"/>
      <c r="T126" s="536"/>
      <c r="U126" s="536"/>
      <c r="V126" s="536"/>
      <c r="W126" s="536"/>
      <c r="X126" s="536"/>
      <c r="Y126" s="536"/>
      <c r="Z126" s="536"/>
      <c r="AA126" s="536"/>
      <c r="AB126" s="536"/>
      <c r="AC126" s="536"/>
      <c r="AD126" s="536"/>
      <c r="AE126" s="536"/>
      <c r="AF126" s="536"/>
      <c r="AG126" s="536"/>
      <c r="AH126" s="536"/>
      <c r="AI126" s="536"/>
      <c r="AJ126" s="536"/>
      <c r="AK126" s="536"/>
      <c r="AL126" s="536"/>
      <c r="AM126" s="536"/>
      <c r="AN126" s="536"/>
      <c r="AO126" s="536"/>
      <c r="AP126" s="536"/>
      <c r="AQ126" s="536"/>
      <c r="AR126" s="536"/>
      <c r="AS126" s="536"/>
      <c r="AT126" s="536"/>
      <c r="AU126" s="536"/>
      <c r="AV126" s="536"/>
      <c r="AW126" s="536"/>
      <c r="AX126" s="536"/>
    </row>
    <row r="127" spans="7:50" x14ac:dyDescent="0.25">
      <c r="G127" s="536"/>
      <c r="H127" s="536"/>
      <c r="I127" s="536"/>
      <c r="J127" s="536"/>
      <c r="K127" s="536"/>
      <c r="L127" s="536"/>
      <c r="M127" s="536"/>
      <c r="N127" s="536"/>
      <c r="O127" s="536"/>
      <c r="P127" s="536"/>
      <c r="Q127" s="536"/>
      <c r="R127" s="536"/>
      <c r="S127" s="536"/>
      <c r="T127" s="536"/>
      <c r="U127" s="536"/>
      <c r="V127" s="536"/>
      <c r="W127" s="536"/>
      <c r="X127" s="536"/>
      <c r="Y127" s="536"/>
      <c r="Z127" s="536"/>
      <c r="AA127" s="536"/>
      <c r="AB127" s="536"/>
      <c r="AC127" s="536"/>
      <c r="AD127" s="536"/>
      <c r="AE127" s="536"/>
      <c r="AF127" s="536"/>
      <c r="AG127" s="536"/>
      <c r="AH127" s="536"/>
      <c r="AI127" s="536"/>
      <c r="AJ127" s="536"/>
      <c r="AK127" s="536"/>
      <c r="AL127" s="536"/>
      <c r="AM127" s="536"/>
      <c r="AN127" s="536"/>
      <c r="AO127" s="536"/>
      <c r="AP127" s="536"/>
      <c r="AQ127" s="536"/>
      <c r="AR127" s="536"/>
      <c r="AS127" s="536"/>
      <c r="AT127" s="536"/>
      <c r="AU127" s="536"/>
      <c r="AV127" s="536"/>
      <c r="AW127" s="536"/>
      <c r="AX127" s="536"/>
    </row>
    <row r="128" spans="7:50" x14ac:dyDescent="0.25">
      <c r="G128" s="536"/>
      <c r="H128" s="536"/>
      <c r="I128" s="536"/>
      <c r="J128" s="536"/>
      <c r="K128" s="536"/>
      <c r="L128" s="536"/>
      <c r="M128" s="536"/>
      <c r="N128" s="536"/>
      <c r="O128" s="536"/>
      <c r="P128" s="536"/>
      <c r="Q128" s="536"/>
      <c r="R128" s="536"/>
      <c r="S128" s="536"/>
      <c r="T128" s="536"/>
      <c r="U128" s="536"/>
      <c r="V128" s="536"/>
      <c r="W128" s="536"/>
      <c r="X128" s="536"/>
      <c r="Y128" s="536"/>
      <c r="Z128" s="536"/>
      <c r="AA128" s="536"/>
      <c r="AB128" s="536"/>
      <c r="AC128" s="536"/>
      <c r="AD128" s="536"/>
      <c r="AE128" s="536"/>
      <c r="AF128" s="536"/>
      <c r="AG128" s="536"/>
      <c r="AH128" s="536"/>
      <c r="AI128" s="536"/>
      <c r="AJ128" s="536"/>
      <c r="AK128" s="536"/>
      <c r="AL128" s="536"/>
      <c r="AM128" s="536"/>
      <c r="AN128" s="536"/>
      <c r="AO128" s="536"/>
      <c r="AP128" s="536"/>
      <c r="AQ128" s="536"/>
      <c r="AR128" s="536"/>
      <c r="AS128" s="536"/>
      <c r="AT128" s="536"/>
      <c r="AU128" s="536"/>
      <c r="AV128" s="536"/>
      <c r="AW128" s="536"/>
      <c r="AX128" s="536"/>
    </row>
    <row r="129" spans="7:50" x14ac:dyDescent="0.25">
      <c r="G129" s="536"/>
      <c r="H129" s="536"/>
      <c r="I129" s="536"/>
      <c r="J129" s="536"/>
      <c r="K129" s="536"/>
      <c r="L129" s="536"/>
      <c r="M129" s="536"/>
      <c r="N129" s="536"/>
      <c r="O129" s="536"/>
      <c r="P129" s="536"/>
      <c r="Q129" s="536"/>
      <c r="R129" s="536"/>
      <c r="S129" s="536"/>
      <c r="T129" s="536"/>
      <c r="U129" s="536"/>
      <c r="V129" s="536"/>
      <c r="W129" s="536"/>
      <c r="X129" s="536"/>
      <c r="Y129" s="536"/>
      <c r="Z129" s="536"/>
      <c r="AA129" s="536"/>
      <c r="AB129" s="536"/>
      <c r="AC129" s="536"/>
      <c r="AD129" s="536"/>
      <c r="AE129" s="536"/>
      <c r="AF129" s="536"/>
      <c r="AG129" s="536"/>
      <c r="AH129" s="536"/>
      <c r="AI129" s="536"/>
      <c r="AJ129" s="536"/>
      <c r="AK129" s="536"/>
      <c r="AL129" s="536"/>
      <c r="AM129" s="536"/>
      <c r="AN129" s="536"/>
      <c r="AO129" s="536"/>
      <c r="AP129" s="536"/>
      <c r="AQ129" s="536"/>
      <c r="AR129" s="536"/>
      <c r="AS129" s="536"/>
      <c r="AT129" s="536"/>
      <c r="AU129" s="536"/>
      <c r="AV129" s="536"/>
      <c r="AW129" s="536"/>
      <c r="AX129" s="536"/>
    </row>
    <row r="130" spans="7:50" x14ac:dyDescent="0.25">
      <c r="G130" s="536"/>
      <c r="H130" s="536"/>
      <c r="I130" s="536"/>
      <c r="J130" s="536"/>
      <c r="K130" s="536"/>
      <c r="L130" s="536"/>
      <c r="M130" s="536"/>
      <c r="N130" s="536"/>
      <c r="O130" s="536"/>
      <c r="P130" s="536"/>
      <c r="Q130" s="536"/>
      <c r="R130" s="536"/>
      <c r="S130" s="536"/>
      <c r="T130" s="536"/>
      <c r="U130" s="536"/>
      <c r="V130" s="536"/>
      <c r="W130" s="536"/>
      <c r="X130" s="536"/>
      <c r="Y130" s="536"/>
      <c r="Z130" s="536"/>
      <c r="AA130" s="536"/>
      <c r="AB130" s="536"/>
      <c r="AC130" s="536"/>
      <c r="AD130" s="536"/>
      <c r="AE130" s="536"/>
      <c r="AF130" s="536"/>
      <c r="AG130" s="536"/>
      <c r="AH130" s="536"/>
      <c r="AI130" s="536"/>
      <c r="AJ130" s="536"/>
      <c r="AK130" s="536"/>
      <c r="AL130" s="536"/>
      <c r="AM130" s="536"/>
      <c r="AN130" s="536"/>
      <c r="AO130" s="536"/>
      <c r="AP130" s="536"/>
      <c r="AQ130" s="536"/>
      <c r="AR130" s="536"/>
      <c r="AS130" s="536"/>
      <c r="AT130" s="536"/>
      <c r="AU130" s="536"/>
      <c r="AV130" s="536"/>
      <c r="AW130" s="536"/>
      <c r="AX130" s="536"/>
    </row>
    <row r="131" spans="7:50" x14ac:dyDescent="0.25">
      <c r="G131" s="536"/>
      <c r="H131" s="536"/>
      <c r="I131" s="536"/>
      <c r="J131" s="536"/>
      <c r="K131" s="536"/>
      <c r="L131" s="536"/>
      <c r="M131" s="536"/>
      <c r="N131" s="536"/>
      <c r="O131" s="536"/>
      <c r="P131" s="536"/>
      <c r="Q131" s="536"/>
      <c r="R131" s="536"/>
      <c r="S131" s="536"/>
      <c r="T131" s="536"/>
      <c r="U131" s="536"/>
      <c r="V131" s="536"/>
      <c r="W131" s="536"/>
      <c r="X131" s="536"/>
      <c r="Y131" s="536"/>
      <c r="Z131" s="536"/>
      <c r="AA131" s="536"/>
      <c r="AB131" s="536"/>
      <c r="AC131" s="536"/>
      <c r="AD131" s="536"/>
      <c r="AE131" s="536"/>
      <c r="AF131" s="536"/>
      <c r="AG131" s="536"/>
      <c r="AH131" s="536"/>
      <c r="AI131" s="536"/>
      <c r="AJ131" s="536"/>
      <c r="AK131" s="536"/>
      <c r="AL131" s="536"/>
      <c r="AM131" s="536"/>
      <c r="AN131" s="536"/>
      <c r="AO131" s="536"/>
      <c r="AP131" s="536"/>
      <c r="AQ131" s="536"/>
      <c r="AR131" s="536"/>
      <c r="AS131" s="536"/>
      <c r="AT131" s="536"/>
      <c r="AU131" s="536"/>
      <c r="AV131" s="536"/>
      <c r="AW131" s="536"/>
      <c r="AX131" s="536"/>
    </row>
    <row r="132" spans="7:50" x14ac:dyDescent="0.25">
      <c r="G132" s="536"/>
      <c r="H132" s="536"/>
      <c r="I132" s="536"/>
      <c r="J132" s="536"/>
      <c r="K132" s="536"/>
      <c r="L132" s="536"/>
      <c r="M132" s="536"/>
      <c r="N132" s="536"/>
      <c r="O132" s="536"/>
      <c r="P132" s="536"/>
      <c r="Q132" s="536"/>
      <c r="R132" s="536"/>
      <c r="S132" s="536"/>
      <c r="T132" s="536"/>
      <c r="U132" s="536"/>
      <c r="V132" s="536"/>
      <c r="W132" s="536"/>
      <c r="X132" s="536"/>
      <c r="Y132" s="536"/>
      <c r="Z132" s="536"/>
      <c r="AA132" s="536"/>
      <c r="AB132" s="536"/>
      <c r="AC132" s="536"/>
      <c r="AD132" s="536"/>
      <c r="AE132" s="536"/>
      <c r="AF132" s="536"/>
      <c r="AG132" s="536"/>
      <c r="AH132" s="536"/>
      <c r="AI132" s="536"/>
      <c r="AJ132" s="536"/>
      <c r="AK132" s="536"/>
      <c r="AL132" s="536"/>
      <c r="AM132" s="536"/>
      <c r="AN132" s="536"/>
      <c r="AO132" s="536"/>
      <c r="AP132" s="536"/>
      <c r="AQ132" s="536"/>
      <c r="AR132" s="536"/>
      <c r="AS132" s="536"/>
      <c r="AT132" s="536"/>
      <c r="AU132" s="536"/>
      <c r="AV132" s="536"/>
      <c r="AW132" s="536"/>
      <c r="AX132" s="536"/>
    </row>
    <row r="133" spans="7:50" x14ac:dyDescent="0.25">
      <c r="G133" s="536"/>
      <c r="H133" s="536"/>
      <c r="I133" s="536"/>
      <c r="J133" s="536"/>
      <c r="K133" s="536"/>
      <c r="L133" s="536"/>
      <c r="M133" s="536"/>
      <c r="N133" s="536"/>
      <c r="O133" s="536"/>
      <c r="P133" s="536"/>
      <c r="Q133" s="536"/>
      <c r="R133" s="536"/>
      <c r="S133" s="536"/>
      <c r="T133" s="536"/>
      <c r="U133" s="536"/>
      <c r="V133" s="536"/>
      <c r="W133" s="536"/>
      <c r="X133" s="536"/>
      <c r="Y133" s="536"/>
      <c r="Z133" s="536"/>
      <c r="AA133" s="536"/>
      <c r="AB133" s="536"/>
      <c r="AC133" s="536"/>
      <c r="AD133" s="536"/>
      <c r="AE133" s="536"/>
      <c r="AF133" s="536"/>
      <c r="AG133" s="536"/>
      <c r="AH133" s="536"/>
      <c r="AI133" s="536"/>
      <c r="AJ133" s="536"/>
      <c r="AK133" s="536"/>
      <c r="AL133" s="536"/>
      <c r="AM133" s="536"/>
      <c r="AN133" s="536"/>
      <c r="AO133" s="536"/>
      <c r="AP133" s="536"/>
      <c r="AQ133" s="536"/>
      <c r="AR133" s="536"/>
      <c r="AS133" s="536"/>
      <c r="AT133" s="536"/>
      <c r="AU133" s="536"/>
      <c r="AV133" s="536"/>
      <c r="AW133" s="536"/>
      <c r="AX133" s="536"/>
    </row>
    <row r="134" spans="7:50" x14ac:dyDescent="0.25">
      <c r="G134" s="536"/>
      <c r="H134" s="536"/>
      <c r="I134" s="536"/>
      <c r="J134" s="536"/>
      <c r="K134" s="536"/>
      <c r="L134" s="536"/>
      <c r="M134" s="536"/>
      <c r="N134" s="536"/>
      <c r="O134" s="536"/>
      <c r="P134" s="536"/>
      <c r="Q134" s="536"/>
      <c r="R134" s="536"/>
      <c r="S134" s="536"/>
      <c r="T134" s="536"/>
      <c r="U134" s="536"/>
      <c r="V134" s="536"/>
      <c r="W134" s="536"/>
      <c r="X134" s="536"/>
      <c r="Y134" s="536"/>
      <c r="Z134" s="536"/>
      <c r="AA134" s="536"/>
      <c r="AB134" s="536"/>
      <c r="AC134" s="536"/>
      <c r="AD134" s="536"/>
      <c r="AE134" s="536"/>
      <c r="AF134" s="536"/>
      <c r="AG134" s="536"/>
      <c r="AH134" s="536"/>
      <c r="AI134" s="536"/>
      <c r="AJ134" s="536"/>
      <c r="AK134" s="536"/>
      <c r="AL134" s="536"/>
      <c r="AM134" s="536"/>
      <c r="AN134" s="536"/>
      <c r="AO134" s="536"/>
      <c r="AP134" s="536"/>
      <c r="AQ134" s="536"/>
      <c r="AR134" s="536"/>
      <c r="AS134" s="536"/>
      <c r="AT134" s="536"/>
      <c r="AU134" s="536"/>
      <c r="AV134" s="536"/>
      <c r="AW134" s="536"/>
      <c r="AX134" s="536"/>
    </row>
    <row r="135" spans="7:50" x14ac:dyDescent="0.25">
      <c r="G135" s="536"/>
      <c r="H135" s="536"/>
      <c r="I135" s="536"/>
      <c r="J135" s="536"/>
      <c r="K135" s="536"/>
      <c r="L135" s="536"/>
      <c r="M135" s="536"/>
      <c r="N135" s="536"/>
      <c r="O135" s="536"/>
      <c r="P135" s="536"/>
      <c r="Q135" s="536"/>
      <c r="R135" s="536"/>
      <c r="S135" s="536"/>
      <c r="T135" s="536"/>
      <c r="U135" s="536"/>
      <c r="V135" s="536"/>
      <c r="W135" s="536"/>
      <c r="X135" s="536"/>
      <c r="Y135" s="536"/>
      <c r="Z135" s="536"/>
      <c r="AA135" s="536"/>
      <c r="AB135" s="536"/>
      <c r="AC135" s="536"/>
      <c r="AD135" s="536"/>
      <c r="AE135" s="536"/>
      <c r="AF135" s="536"/>
      <c r="AG135" s="536"/>
      <c r="AH135" s="536"/>
      <c r="AI135" s="536"/>
      <c r="AJ135" s="536"/>
      <c r="AK135" s="536"/>
      <c r="AL135" s="536"/>
      <c r="AM135" s="536"/>
      <c r="AN135" s="536"/>
      <c r="AO135" s="536"/>
      <c r="AP135" s="536"/>
      <c r="AQ135" s="536"/>
      <c r="AR135" s="536"/>
      <c r="AS135" s="536"/>
      <c r="AT135" s="536"/>
      <c r="AU135" s="536"/>
      <c r="AV135" s="536"/>
      <c r="AW135" s="536"/>
      <c r="AX135" s="536"/>
    </row>
    <row r="136" spans="7:50" x14ac:dyDescent="0.25">
      <c r="G136" s="536"/>
      <c r="H136" s="536"/>
      <c r="I136" s="536"/>
      <c r="J136" s="536"/>
      <c r="K136" s="536"/>
      <c r="L136" s="536"/>
      <c r="M136" s="536"/>
      <c r="N136" s="536"/>
      <c r="O136" s="536"/>
      <c r="P136" s="536"/>
      <c r="Q136" s="536"/>
      <c r="R136" s="536"/>
      <c r="S136" s="536"/>
      <c r="T136" s="536"/>
      <c r="U136" s="536"/>
      <c r="V136" s="536"/>
      <c r="W136" s="536"/>
      <c r="X136" s="536"/>
      <c r="Y136" s="536"/>
      <c r="Z136" s="536"/>
      <c r="AA136" s="536"/>
      <c r="AB136" s="536"/>
      <c r="AC136" s="536"/>
      <c r="AD136" s="536"/>
      <c r="AE136" s="536"/>
      <c r="AF136" s="536"/>
      <c r="AG136" s="536"/>
      <c r="AH136" s="536"/>
      <c r="AI136" s="536"/>
      <c r="AJ136" s="536"/>
      <c r="AK136" s="536"/>
      <c r="AL136" s="536"/>
      <c r="AM136" s="536"/>
      <c r="AN136" s="536"/>
      <c r="AO136" s="536"/>
      <c r="AP136" s="536"/>
      <c r="AQ136" s="536"/>
      <c r="AR136" s="536"/>
      <c r="AS136" s="536"/>
      <c r="AT136" s="536"/>
      <c r="AU136" s="536"/>
      <c r="AV136" s="536"/>
      <c r="AW136" s="536"/>
      <c r="AX136" s="536"/>
    </row>
    <row r="137" spans="7:50" x14ac:dyDescent="0.25">
      <c r="G137" s="536"/>
      <c r="H137" s="536"/>
      <c r="I137" s="536"/>
      <c r="J137" s="536"/>
      <c r="K137" s="536"/>
      <c r="L137" s="536"/>
      <c r="M137" s="536"/>
      <c r="N137" s="536"/>
      <c r="O137" s="536"/>
      <c r="P137" s="536"/>
      <c r="Q137" s="536"/>
      <c r="R137" s="536"/>
      <c r="S137" s="536"/>
      <c r="T137" s="536"/>
      <c r="U137" s="536"/>
      <c r="V137" s="536"/>
      <c r="W137" s="536"/>
      <c r="X137" s="536"/>
      <c r="Y137" s="536"/>
      <c r="Z137" s="536"/>
      <c r="AA137" s="536"/>
      <c r="AB137" s="536"/>
      <c r="AC137" s="536"/>
      <c r="AD137" s="536"/>
      <c r="AE137" s="536"/>
      <c r="AF137" s="536"/>
      <c r="AG137" s="536"/>
      <c r="AH137" s="536"/>
      <c r="AI137" s="536"/>
      <c r="AJ137" s="536"/>
      <c r="AK137" s="536"/>
      <c r="AL137" s="536"/>
      <c r="AM137" s="536"/>
      <c r="AN137" s="536"/>
      <c r="AO137" s="536"/>
      <c r="AP137" s="536"/>
      <c r="AQ137" s="536"/>
      <c r="AR137" s="536"/>
      <c r="AS137" s="536"/>
      <c r="AT137" s="536"/>
      <c r="AU137" s="536"/>
      <c r="AV137" s="536"/>
      <c r="AW137" s="536"/>
      <c r="AX137" s="536"/>
    </row>
    <row r="138" spans="7:50" x14ac:dyDescent="0.25">
      <c r="G138" s="536"/>
      <c r="H138" s="536"/>
      <c r="I138" s="536"/>
      <c r="J138" s="536"/>
      <c r="K138" s="536"/>
      <c r="L138" s="536"/>
      <c r="M138" s="536"/>
      <c r="N138" s="536"/>
      <c r="O138" s="536"/>
      <c r="P138" s="536"/>
      <c r="Q138" s="536"/>
      <c r="R138" s="536"/>
      <c r="S138" s="536"/>
      <c r="T138" s="536"/>
      <c r="U138" s="536"/>
      <c r="V138" s="536"/>
      <c r="W138" s="536"/>
      <c r="X138" s="536"/>
      <c r="Y138" s="536"/>
      <c r="Z138" s="536"/>
      <c r="AA138" s="536"/>
      <c r="AB138" s="536"/>
      <c r="AC138" s="536"/>
      <c r="AD138" s="536"/>
      <c r="AE138" s="536"/>
      <c r="AF138" s="536"/>
      <c r="AG138" s="536"/>
      <c r="AH138" s="536"/>
      <c r="AI138" s="536"/>
      <c r="AJ138" s="536"/>
      <c r="AK138" s="536"/>
      <c r="AL138" s="536"/>
      <c r="AM138" s="536"/>
      <c r="AN138" s="536"/>
      <c r="AO138" s="536"/>
      <c r="AP138" s="536"/>
      <c r="AQ138" s="536"/>
      <c r="AR138" s="536"/>
      <c r="AS138" s="536"/>
      <c r="AT138" s="536"/>
      <c r="AU138" s="536"/>
      <c r="AV138" s="536"/>
      <c r="AW138" s="536"/>
      <c r="AX138" s="536"/>
    </row>
    <row r="139" spans="7:50" x14ac:dyDescent="0.25">
      <c r="G139" s="536"/>
      <c r="H139" s="536"/>
      <c r="I139" s="536"/>
      <c r="J139" s="536"/>
      <c r="K139" s="536"/>
      <c r="L139" s="536"/>
      <c r="M139" s="536"/>
      <c r="N139" s="536"/>
      <c r="O139" s="536"/>
      <c r="P139" s="536"/>
      <c r="Q139" s="536"/>
      <c r="R139" s="536"/>
      <c r="S139" s="536"/>
      <c r="T139" s="536"/>
      <c r="U139" s="536"/>
      <c r="V139" s="536"/>
      <c r="W139" s="536"/>
      <c r="X139" s="536"/>
      <c r="Y139" s="536"/>
      <c r="Z139" s="536"/>
      <c r="AA139" s="536"/>
      <c r="AB139" s="536"/>
      <c r="AC139" s="536"/>
      <c r="AD139" s="536"/>
      <c r="AE139" s="536"/>
      <c r="AF139" s="536"/>
      <c r="AG139" s="536"/>
      <c r="AH139" s="536"/>
      <c r="AI139" s="536"/>
      <c r="AJ139" s="536"/>
      <c r="AK139" s="536"/>
      <c r="AL139" s="536"/>
      <c r="AM139" s="536"/>
      <c r="AN139" s="536"/>
      <c r="AO139" s="536"/>
      <c r="AP139" s="536"/>
      <c r="AQ139" s="536"/>
      <c r="AR139" s="536"/>
      <c r="AS139" s="536"/>
      <c r="AT139" s="536"/>
      <c r="AU139" s="536"/>
      <c r="AV139" s="536"/>
      <c r="AW139" s="536"/>
      <c r="AX139" s="536"/>
    </row>
    <row r="140" spans="7:50" x14ac:dyDescent="0.25">
      <c r="G140" s="536"/>
      <c r="H140" s="536"/>
      <c r="I140" s="536"/>
      <c r="J140" s="536"/>
      <c r="K140" s="536"/>
      <c r="L140" s="536"/>
      <c r="M140" s="536"/>
      <c r="N140" s="536"/>
      <c r="O140" s="536"/>
      <c r="P140" s="536"/>
      <c r="Q140" s="536"/>
      <c r="R140" s="536"/>
      <c r="S140" s="536"/>
      <c r="T140" s="536"/>
      <c r="U140" s="536"/>
      <c r="V140" s="536"/>
      <c r="W140" s="536"/>
      <c r="X140" s="536"/>
      <c r="Y140" s="536"/>
      <c r="Z140" s="536"/>
      <c r="AA140" s="536"/>
      <c r="AB140" s="536"/>
      <c r="AC140" s="536"/>
      <c r="AD140" s="536"/>
      <c r="AE140" s="536"/>
      <c r="AF140" s="536"/>
      <c r="AG140" s="536"/>
      <c r="AH140" s="536"/>
      <c r="AI140" s="536"/>
      <c r="AJ140" s="536"/>
      <c r="AK140" s="536"/>
      <c r="AL140" s="536"/>
      <c r="AM140" s="536"/>
      <c r="AN140" s="536"/>
      <c r="AO140" s="536"/>
      <c r="AP140" s="536"/>
      <c r="AQ140" s="536"/>
      <c r="AR140" s="536"/>
      <c r="AS140" s="536"/>
      <c r="AT140" s="536"/>
      <c r="AU140" s="536"/>
      <c r="AV140" s="536"/>
      <c r="AW140" s="536"/>
      <c r="AX140" s="536"/>
    </row>
    <row r="141" spans="7:50" x14ac:dyDescent="0.25">
      <c r="G141" s="536"/>
      <c r="H141" s="536"/>
      <c r="I141" s="536"/>
      <c r="J141" s="536"/>
      <c r="K141" s="536"/>
      <c r="L141" s="536"/>
      <c r="M141" s="536"/>
      <c r="N141" s="536"/>
      <c r="O141" s="536"/>
      <c r="P141" s="536"/>
      <c r="Q141" s="536"/>
      <c r="R141" s="536"/>
      <c r="S141" s="536"/>
      <c r="T141" s="536"/>
      <c r="U141" s="536"/>
      <c r="V141" s="536"/>
      <c r="W141" s="536"/>
      <c r="X141" s="536"/>
      <c r="Y141" s="536"/>
      <c r="Z141" s="536"/>
      <c r="AA141" s="536"/>
      <c r="AB141" s="536"/>
      <c r="AC141" s="536"/>
      <c r="AD141" s="536"/>
      <c r="AE141" s="536"/>
      <c r="AF141" s="536"/>
      <c r="AG141" s="536"/>
      <c r="AH141" s="536"/>
      <c r="AI141" s="536"/>
      <c r="AJ141" s="536"/>
      <c r="AK141" s="536"/>
      <c r="AL141" s="536"/>
      <c r="AM141" s="536"/>
      <c r="AN141" s="536"/>
      <c r="AO141" s="536"/>
      <c r="AP141" s="536"/>
      <c r="AQ141" s="536"/>
      <c r="AR141" s="536"/>
      <c r="AS141" s="536"/>
      <c r="AT141" s="536"/>
      <c r="AU141" s="536"/>
      <c r="AV141" s="536"/>
      <c r="AW141" s="536"/>
      <c r="AX141" s="536"/>
    </row>
    <row r="142" spans="7:50" x14ac:dyDescent="0.25">
      <c r="G142" s="536"/>
      <c r="H142" s="536"/>
      <c r="I142" s="536"/>
      <c r="J142" s="536"/>
      <c r="K142" s="536"/>
      <c r="L142" s="536"/>
      <c r="M142" s="536"/>
      <c r="N142" s="536"/>
      <c r="O142" s="536"/>
      <c r="P142" s="536"/>
      <c r="Q142" s="536"/>
      <c r="R142" s="536"/>
      <c r="S142" s="536"/>
      <c r="T142" s="536"/>
      <c r="U142" s="536"/>
      <c r="V142" s="536"/>
      <c r="W142" s="536"/>
      <c r="X142" s="536"/>
      <c r="Y142" s="536"/>
      <c r="Z142" s="536"/>
      <c r="AA142" s="536"/>
      <c r="AB142" s="536"/>
      <c r="AC142" s="536"/>
      <c r="AD142" s="536"/>
      <c r="AE142" s="536"/>
      <c r="AF142" s="536"/>
      <c r="AG142" s="536"/>
      <c r="AH142" s="536"/>
      <c r="AI142" s="536"/>
      <c r="AJ142" s="536"/>
      <c r="AK142" s="536"/>
      <c r="AL142" s="536"/>
      <c r="AM142" s="536"/>
      <c r="AN142" s="536"/>
      <c r="AO142" s="536"/>
      <c r="AP142" s="536"/>
      <c r="AQ142" s="536"/>
      <c r="AR142" s="536"/>
      <c r="AS142" s="536"/>
      <c r="AT142" s="536"/>
      <c r="AU142" s="536"/>
      <c r="AV142" s="536"/>
      <c r="AW142" s="536"/>
      <c r="AX142" s="536"/>
    </row>
    <row r="143" spans="7:50" x14ac:dyDescent="0.25">
      <c r="G143" s="536"/>
      <c r="H143" s="536"/>
      <c r="I143" s="536"/>
      <c r="J143" s="536"/>
      <c r="K143" s="536"/>
      <c r="L143" s="536"/>
      <c r="M143" s="536"/>
      <c r="N143" s="536"/>
      <c r="O143" s="536"/>
      <c r="P143" s="536"/>
      <c r="Q143" s="536"/>
      <c r="R143" s="536"/>
      <c r="S143" s="536"/>
      <c r="T143" s="536"/>
      <c r="U143" s="536"/>
      <c r="V143" s="536"/>
      <c r="W143" s="536"/>
      <c r="X143" s="536"/>
      <c r="Y143" s="536"/>
      <c r="Z143" s="536"/>
      <c r="AA143" s="536"/>
      <c r="AB143" s="536"/>
      <c r="AC143" s="536"/>
      <c r="AD143" s="536"/>
      <c r="AE143" s="536"/>
      <c r="AF143" s="536"/>
      <c r="AG143" s="536"/>
      <c r="AH143" s="536"/>
      <c r="AI143" s="536"/>
      <c r="AJ143" s="536"/>
      <c r="AK143" s="536"/>
      <c r="AL143" s="536"/>
      <c r="AM143" s="536"/>
      <c r="AN143" s="536"/>
      <c r="AO143" s="536"/>
      <c r="AP143" s="536"/>
      <c r="AQ143" s="536"/>
      <c r="AR143" s="536"/>
      <c r="AS143" s="536"/>
      <c r="AT143" s="536"/>
      <c r="AU143" s="536"/>
      <c r="AV143" s="536"/>
      <c r="AW143" s="536"/>
      <c r="AX143" s="536"/>
    </row>
    <row r="144" spans="7:50" x14ac:dyDescent="0.25">
      <c r="G144" s="536"/>
      <c r="H144" s="536"/>
      <c r="I144" s="536"/>
      <c r="J144" s="536"/>
      <c r="K144" s="536"/>
      <c r="L144" s="536"/>
      <c r="M144" s="536"/>
      <c r="N144" s="536"/>
      <c r="O144" s="536"/>
      <c r="P144" s="536"/>
      <c r="Q144" s="536"/>
      <c r="R144" s="536"/>
      <c r="S144" s="536"/>
      <c r="T144" s="536"/>
      <c r="U144" s="536"/>
      <c r="V144" s="536"/>
      <c r="W144" s="536"/>
      <c r="X144" s="536"/>
      <c r="Y144" s="536"/>
      <c r="Z144" s="536"/>
      <c r="AA144" s="536"/>
      <c r="AB144" s="536"/>
      <c r="AC144" s="536"/>
      <c r="AD144" s="536"/>
      <c r="AE144" s="536"/>
      <c r="AF144" s="536"/>
      <c r="AG144" s="536"/>
      <c r="AH144" s="536"/>
      <c r="AI144" s="536"/>
      <c r="AJ144" s="536"/>
      <c r="AK144" s="536"/>
      <c r="AL144" s="536"/>
      <c r="AM144" s="536"/>
      <c r="AN144" s="536"/>
      <c r="AO144" s="536"/>
      <c r="AP144" s="536"/>
      <c r="AQ144" s="536"/>
      <c r="AR144" s="536"/>
      <c r="AS144" s="536"/>
      <c r="AT144" s="536"/>
      <c r="AU144" s="536"/>
      <c r="AV144" s="536"/>
      <c r="AW144" s="536"/>
      <c r="AX144" s="536"/>
    </row>
    <row r="145" spans="7:50" x14ac:dyDescent="0.25">
      <c r="G145" s="536"/>
      <c r="H145" s="536"/>
      <c r="I145" s="536"/>
      <c r="J145" s="536"/>
      <c r="K145" s="536"/>
      <c r="L145" s="536"/>
      <c r="M145" s="536"/>
      <c r="N145" s="536"/>
      <c r="O145" s="536"/>
      <c r="P145" s="536"/>
      <c r="Q145" s="536"/>
      <c r="R145" s="536"/>
      <c r="S145" s="536"/>
      <c r="T145" s="536"/>
      <c r="U145" s="536"/>
      <c r="V145" s="536"/>
      <c r="W145" s="536"/>
      <c r="X145" s="536"/>
      <c r="Y145" s="536"/>
      <c r="Z145" s="536"/>
      <c r="AA145" s="536"/>
      <c r="AB145" s="536"/>
      <c r="AC145" s="536"/>
      <c r="AD145" s="536"/>
      <c r="AE145" s="536"/>
      <c r="AF145" s="536"/>
      <c r="AG145" s="536"/>
      <c r="AH145" s="536"/>
      <c r="AI145" s="536"/>
      <c r="AJ145" s="536"/>
      <c r="AK145" s="536"/>
      <c r="AL145" s="536"/>
      <c r="AM145" s="536"/>
      <c r="AN145" s="536"/>
      <c r="AO145" s="536"/>
      <c r="AP145" s="536"/>
      <c r="AQ145" s="536"/>
      <c r="AR145" s="536"/>
      <c r="AS145" s="536"/>
      <c r="AT145" s="536"/>
      <c r="AU145" s="536"/>
      <c r="AV145" s="536"/>
      <c r="AW145" s="536"/>
      <c r="AX145" s="536"/>
    </row>
    <row r="146" spans="7:50" x14ac:dyDescent="0.25">
      <c r="G146" s="536"/>
      <c r="H146" s="536"/>
      <c r="I146" s="536"/>
      <c r="J146" s="536"/>
      <c r="K146" s="536"/>
      <c r="L146" s="536"/>
      <c r="M146" s="536"/>
      <c r="N146" s="536"/>
      <c r="O146" s="536"/>
      <c r="P146" s="536"/>
      <c r="Q146" s="536"/>
      <c r="R146" s="536"/>
      <c r="S146" s="536"/>
      <c r="T146" s="536"/>
      <c r="U146" s="536"/>
      <c r="V146" s="536"/>
      <c r="W146" s="536"/>
      <c r="X146" s="536"/>
      <c r="Y146" s="536"/>
      <c r="Z146" s="536"/>
      <c r="AA146" s="536"/>
      <c r="AB146" s="536"/>
      <c r="AC146" s="536"/>
      <c r="AD146" s="536"/>
      <c r="AE146" s="536"/>
      <c r="AF146" s="536"/>
      <c r="AG146" s="536"/>
      <c r="AH146" s="536"/>
      <c r="AI146" s="536"/>
      <c r="AJ146" s="536"/>
      <c r="AK146" s="536"/>
      <c r="AL146" s="536"/>
      <c r="AM146" s="536"/>
      <c r="AN146" s="536"/>
      <c r="AO146" s="536"/>
      <c r="AP146" s="536"/>
      <c r="AQ146" s="536"/>
      <c r="AR146" s="536"/>
      <c r="AS146" s="536"/>
      <c r="AT146" s="536"/>
      <c r="AU146" s="536"/>
      <c r="AV146" s="536"/>
      <c r="AW146" s="536"/>
      <c r="AX146" s="536"/>
    </row>
    <row r="147" spans="7:50" x14ac:dyDescent="0.25">
      <c r="G147" s="536"/>
      <c r="H147" s="536"/>
      <c r="I147" s="536"/>
      <c r="J147" s="536"/>
      <c r="K147" s="536"/>
      <c r="L147" s="536"/>
      <c r="M147" s="536"/>
      <c r="N147" s="536"/>
      <c r="O147" s="536"/>
      <c r="P147" s="536"/>
      <c r="Q147" s="536"/>
      <c r="R147" s="536"/>
      <c r="S147" s="536"/>
      <c r="T147" s="536"/>
      <c r="U147" s="536"/>
      <c r="V147" s="536"/>
      <c r="W147" s="536"/>
      <c r="X147" s="536"/>
      <c r="Y147" s="536"/>
      <c r="Z147" s="536"/>
      <c r="AA147" s="536"/>
      <c r="AB147" s="536"/>
      <c r="AC147" s="536"/>
      <c r="AD147" s="536"/>
      <c r="AE147" s="536"/>
      <c r="AF147" s="536"/>
      <c r="AG147" s="536"/>
      <c r="AH147" s="536"/>
      <c r="AI147" s="536"/>
      <c r="AJ147" s="536"/>
      <c r="AK147" s="536"/>
      <c r="AL147" s="536"/>
      <c r="AM147" s="536"/>
      <c r="AN147" s="536"/>
      <c r="AO147" s="536"/>
      <c r="AP147" s="536"/>
      <c r="AQ147" s="536"/>
      <c r="AR147" s="536"/>
      <c r="AS147" s="536"/>
      <c r="AT147" s="536"/>
      <c r="AU147" s="536"/>
      <c r="AV147" s="536"/>
      <c r="AW147" s="536"/>
      <c r="AX147" s="536"/>
    </row>
    <row r="148" spans="7:50" x14ac:dyDescent="0.25">
      <c r="G148" s="536"/>
      <c r="H148" s="536"/>
      <c r="I148" s="536"/>
      <c r="J148" s="536"/>
      <c r="K148" s="536"/>
      <c r="L148" s="536"/>
      <c r="M148" s="536"/>
      <c r="N148" s="536"/>
      <c r="O148" s="536"/>
      <c r="P148" s="536"/>
      <c r="Q148" s="536"/>
      <c r="R148" s="536"/>
      <c r="S148" s="536"/>
      <c r="T148" s="536"/>
      <c r="U148" s="536"/>
      <c r="V148" s="536"/>
      <c r="W148" s="536"/>
      <c r="X148" s="536"/>
      <c r="Y148" s="536"/>
      <c r="Z148" s="536"/>
      <c r="AA148" s="536"/>
      <c r="AB148" s="536"/>
      <c r="AC148" s="536"/>
      <c r="AD148" s="536"/>
      <c r="AE148" s="536"/>
      <c r="AF148" s="536"/>
      <c r="AG148" s="536"/>
      <c r="AH148" s="536"/>
      <c r="AI148" s="536"/>
      <c r="AJ148" s="536"/>
      <c r="AK148" s="536"/>
      <c r="AL148" s="536"/>
      <c r="AM148" s="536"/>
      <c r="AN148" s="536"/>
      <c r="AO148" s="536"/>
      <c r="AP148" s="536"/>
      <c r="AQ148" s="536"/>
      <c r="AR148" s="536"/>
      <c r="AS148" s="536"/>
      <c r="AT148" s="536"/>
      <c r="AU148" s="536"/>
      <c r="AV148" s="536"/>
      <c r="AW148" s="536"/>
      <c r="AX148" s="536"/>
    </row>
    <row r="149" spans="7:50" x14ac:dyDescent="0.25">
      <c r="G149" s="536"/>
      <c r="H149" s="536"/>
      <c r="I149" s="536"/>
      <c r="J149" s="536"/>
      <c r="K149" s="536"/>
      <c r="L149" s="536"/>
      <c r="M149" s="536"/>
      <c r="N149" s="536"/>
      <c r="O149" s="536"/>
      <c r="P149" s="536"/>
      <c r="Q149" s="536"/>
      <c r="R149" s="536"/>
      <c r="S149" s="536"/>
      <c r="T149" s="536"/>
      <c r="U149" s="536"/>
      <c r="V149" s="536"/>
      <c r="W149" s="536"/>
      <c r="X149" s="536"/>
      <c r="Y149" s="536"/>
      <c r="Z149" s="536"/>
      <c r="AA149" s="536"/>
      <c r="AB149" s="536"/>
      <c r="AC149" s="536"/>
      <c r="AD149" s="536"/>
      <c r="AE149" s="536"/>
      <c r="AF149" s="536"/>
      <c r="AG149" s="536"/>
      <c r="AH149" s="536"/>
      <c r="AI149" s="536"/>
      <c r="AJ149" s="536"/>
      <c r="AK149" s="536"/>
      <c r="AL149" s="536"/>
      <c r="AM149" s="536"/>
      <c r="AN149" s="536"/>
      <c r="AO149" s="536"/>
      <c r="AP149" s="536"/>
      <c r="AQ149" s="536"/>
      <c r="AR149" s="536"/>
      <c r="AS149" s="536"/>
      <c r="AT149" s="536"/>
      <c r="AU149" s="536"/>
      <c r="AV149" s="536"/>
      <c r="AW149" s="536"/>
      <c r="AX149" s="536"/>
    </row>
    <row r="150" spans="7:50" x14ac:dyDescent="0.25">
      <c r="G150" s="536"/>
      <c r="H150" s="536"/>
      <c r="I150" s="536"/>
      <c r="J150" s="536"/>
      <c r="K150" s="536"/>
      <c r="L150" s="536"/>
      <c r="M150" s="536"/>
      <c r="N150" s="536"/>
      <c r="O150" s="536"/>
      <c r="P150" s="536"/>
      <c r="Q150" s="536"/>
      <c r="R150" s="536"/>
      <c r="S150" s="536"/>
      <c r="T150" s="536"/>
      <c r="U150" s="536"/>
      <c r="V150" s="536"/>
      <c r="W150" s="536"/>
      <c r="X150" s="536"/>
      <c r="Y150" s="536"/>
      <c r="Z150" s="536"/>
      <c r="AA150" s="536"/>
      <c r="AB150" s="536"/>
      <c r="AC150" s="536"/>
      <c r="AD150" s="536"/>
      <c r="AE150" s="536"/>
      <c r="AF150" s="536"/>
      <c r="AG150" s="536"/>
      <c r="AH150" s="536"/>
      <c r="AI150" s="536"/>
      <c r="AJ150" s="536"/>
      <c r="AK150" s="536"/>
      <c r="AL150" s="536"/>
      <c r="AM150" s="536"/>
      <c r="AN150" s="536"/>
      <c r="AO150" s="536"/>
      <c r="AP150" s="536"/>
      <c r="AQ150" s="536"/>
      <c r="AR150" s="536"/>
      <c r="AS150" s="536"/>
      <c r="AT150" s="536"/>
      <c r="AU150" s="536"/>
      <c r="AV150" s="536"/>
      <c r="AW150" s="536"/>
      <c r="AX150" s="536"/>
    </row>
    <row r="151" spans="7:50" x14ac:dyDescent="0.25">
      <c r="G151" s="536"/>
      <c r="H151" s="536"/>
      <c r="I151" s="536"/>
      <c r="J151" s="536"/>
      <c r="K151" s="536"/>
      <c r="L151" s="536"/>
      <c r="M151" s="536"/>
      <c r="N151" s="536"/>
      <c r="O151" s="536"/>
      <c r="P151" s="536"/>
      <c r="Q151" s="536"/>
      <c r="R151" s="536"/>
      <c r="S151" s="536"/>
      <c r="T151" s="536"/>
      <c r="U151" s="536"/>
      <c r="V151" s="536"/>
      <c r="W151" s="536"/>
      <c r="X151" s="536"/>
      <c r="Y151" s="536"/>
      <c r="Z151" s="536"/>
      <c r="AA151" s="536"/>
      <c r="AB151" s="536"/>
      <c r="AC151" s="536"/>
      <c r="AD151" s="536"/>
      <c r="AE151" s="536"/>
      <c r="AF151" s="536"/>
      <c r="AG151" s="536"/>
      <c r="AH151" s="536"/>
      <c r="AI151" s="536"/>
      <c r="AJ151" s="536"/>
      <c r="AK151" s="536"/>
      <c r="AL151" s="536"/>
      <c r="AM151" s="536"/>
      <c r="AN151" s="536"/>
      <c r="AO151" s="536"/>
      <c r="AP151" s="536"/>
      <c r="AQ151" s="536"/>
      <c r="AR151" s="536"/>
      <c r="AS151" s="536"/>
      <c r="AT151" s="536"/>
      <c r="AU151" s="536"/>
      <c r="AV151" s="536"/>
      <c r="AW151" s="536"/>
      <c r="AX151" s="536"/>
    </row>
    <row r="152" spans="7:50" x14ac:dyDescent="0.25">
      <c r="G152" s="536"/>
      <c r="H152" s="536"/>
      <c r="I152" s="536"/>
      <c r="J152" s="536"/>
      <c r="K152" s="536"/>
      <c r="L152" s="536"/>
      <c r="M152" s="536"/>
      <c r="N152" s="536"/>
      <c r="O152" s="536"/>
      <c r="P152" s="536"/>
      <c r="Q152" s="536"/>
      <c r="R152" s="536"/>
      <c r="S152" s="536"/>
      <c r="T152" s="536"/>
      <c r="U152" s="536"/>
      <c r="V152" s="536"/>
      <c r="W152" s="536"/>
      <c r="X152" s="536"/>
      <c r="Y152" s="536"/>
      <c r="Z152" s="536"/>
      <c r="AA152" s="536"/>
      <c r="AB152" s="536"/>
      <c r="AC152" s="536"/>
      <c r="AD152" s="536"/>
      <c r="AE152" s="536"/>
      <c r="AF152" s="536"/>
      <c r="AG152" s="536"/>
      <c r="AH152" s="536"/>
      <c r="AI152" s="536"/>
      <c r="AJ152" s="536"/>
      <c r="AK152" s="536"/>
      <c r="AL152" s="536"/>
      <c r="AM152" s="536"/>
      <c r="AN152" s="536"/>
      <c r="AO152" s="536"/>
      <c r="AP152" s="536"/>
      <c r="AQ152" s="536"/>
      <c r="AR152" s="536"/>
      <c r="AS152" s="536"/>
      <c r="AT152" s="536"/>
      <c r="AU152" s="536"/>
      <c r="AV152" s="536"/>
      <c r="AW152" s="536"/>
      <c r="AX152" s="536"/>
    </row>
    <row r="153" spans="7:50" x14ac:dyDescent="0.25">
      <c r="G153" s="536"/>
      <c r="H153" s="536"/>
      <c r="I153" s="536"/>
      <c r="J153" s="536"/>
      <c r="K153" s="536"/>
      <c r="L153" s="536"/>
      <c r="M153" s="536"/>
      <c r="N153" s="536"/>
      <c r="O153" s="536"/>
      <c r="P153" s="536"/>
      <c r="Q153" s="536"/>
      <c r="R153" s="536"/>
      <c r="S153" s="536"/>
      <c r="T153" s="536"/>
      <c r="U153" s="536"/>
      <c r="V153" s="536"/>
      <c r="W153" s="536"/>
      <c r="X153" s="536"/>
      <c r="Y153" s="536"/>
      <c r="Z153" s="536"/>
      <c r="AA153" s="536"/>
      <c r="AB153" s="536"/>
      <c r="AC153" s="536"/>
      <c r="AD153" s="536"/>
      <c r="AE153" s="536"/>
      <c r="AF153" s="536"/>
      <c r="AG153" s="536"/>
      <c r="AH153" s="536"/>
      <c r="AI153" s="536"/>
      <c r="AJ153" s="536"/>
      <c r="AK153" s="536"/>
      <c r="AL153" s="536"/>
      <c r="AM153" s="536"/>
      <c r="AN153" s="536"/>
      <c r="AO153" s="536"/>
      <c r="AP153" s="536"/>
      <c r="AQ153" s="536"/>
      <c r="AR153" s="536"/>
      <c r="AS153" s="536"/>
      <c r="AT153" s="536"/>
      <c r="AU153" s="536"/>
      <c r="AV153" s="536"/>
      <c r="AW153" s="536"/>
      <c r="AX153" s="536"/>
    </row>
    <row r="154" spans="7:50" x14ac:dyDescent="0.25">
      <c r="G154" s="536"/>
      <c r="H154" s="536"/>
      <c r="I154" s="536"/>
      <c r="J154" s="536"/>
      <c r="K154" s="536"/>
      <c r="L154" s="536"/>
      <c r="M154" s="536"/>
      <c r="N154" s="536"/>
      <c r="O154" s="536"/>
      <c r="P154" s="536"/>
      <c r="Q154" s="536"/>
      <c r="R154" s="536"/>
      <c r="S154" s="536"/>
      <c r="T154" s="536"/>
      <c r="U154" s="536"/>
      <c r="V154" s="536"/>
      <c r="W154" s="536"/>
      <c r="X154" s="536"/>
      <c r="Y154" s="536"/>
      <c r="Z154" s="536"/>
      <c r="AA154" s="536"/>
      <c r="AB154" s="536"/>
      <c r="AC154" s="536"/>
      <c r="AD154" s="536"/>
      <c r="AE154" s="536"/>
      <c r="AF154" s="536"/>
      <c r="AG154" s="536"/>
      <c r="AH154" s="536"/>
      <c r="AI154" s="536"/>
      <c r="AJ154" s="536"/>
      <c r="AK154" s="536"/>
      <c r="AL154" s="536"/>
      <c r="AM154" s="536"/>
      <c r="AN154" s="536"/>
      <c r="AO154" s="536"/>
      <c r="AP154" s="536"/>
      <c r="AQ154" s="536"/>
      <c r="AR154" s="536"/>
      <c r="AS154" s="536"/>
      <c r="AT154" s="536"/>
      <c r="AU154" s="536"/>
      <c r="AV154" s="536"/>
      <c r="AW154" s="536"/>
      <c r="AX154" s="536"/>
    </row>
    <row r="155" spans="7:50" x14ac:dyDescent="0.25">
      <c r="G155" s="536"/>
      <c r="H155" s="536"/>
      <c r="I155" s="536"/>
      <c r="J155" s="536"/>
      <c r="K155" s="536"/>
      <c r="L155" s="536"/>
      <c r="M155" s="536"/>
      <c r="N155" s="536"/>
      <c r="O155" s="536"/>
      <c r="P155" s="536"/>
      <c r="Q155" s="536"/>
      <c r="R155" s="536"/>
      <c r="S155" s="536"/>
      <c r="T155" s="536"/>
      <c r="U155" s="536"/>
      <c r="V155" s="536"/>
      <c r="W155" s="536"/>
      <c r="X155" s="536"/>
      <c r="Y155" s="536"/>
      <c r="Z155" s="536"/>
      <c r="AA155" s="536"/>
      <c r="AB155" s="536"/>
      <c r="AC155" s="536"/>
      <c r="AD155" s="536"/>
      <c r="AE155" s="536"/>
      <c r="AF155" s="536"/>
      <c r="AG155" s="536"/>
      <c r="AH155" s="536"/>
      <c r="AI155" s="536"/>
      <c r="AJ155" s="536"/>
      <c r="AK155" s="536"/>
      <c r="AL155" s="536"/>
      <c r="AM155" s="536"/>
      <c r="AN155" s="536"/>
      <c r="AO155" s="536"/>
      <c r="AP155" s="536"/>
      <c r="AQ155" s="536"/>
      <c r="AR155" s="536"/>
      <c r="AS155" s="536"/>
      <c r="AT155" s="536"/>
      <c r="AU155" s="536"/>
      <c r="AV155" s="536"/>
      <c r="AW155" s="536"/>
      <c r="AX155" s="536"/>
    </row>
    <row r="156" spans="7:50" x14ac:dyDescent="0.25">
      <c r="G156" s="536"/>
      <c r="H156" s="536"/>
      <c r="I156" s="536"/>
      <c r="J156" s="536"/>
      <c r="K156" s="536"/>
      <c r="L156" s="536"/>
      <c r="M156" s="536"/>
      <c r="N156" s="536"/>
      <c r="O156" s="536"/>
      <c r="P156" s="536"/>
      <c r="Q156" s="536"/>
      <c r="R156" s="536"/>
      <c r="S156" s="536"/>
      <c r="T156" s="536"/>
      <c r="U156" s="536"/>
      <c r="V156" s="536"/>
      <c r="W156" s="536"/>
      <c r="X156" s="536"/>
      <c r="Y156" s="536"/>
      <c r="Z156" s="536"/>
      <c r="AA156" s="536"/>
      <c r="AB156" s="536"/>
      <c r="AC156" s="536"/>
      <c r="AD156" s="536"/>
      <c r="AE156" s="536"/>
      <c r="AF156" s="536"/>
      <c r="AG156" s="536"/>
      <c r="AH156" s="536"/>
      <c r="AI156" s="536"/>
      <c r="AJ156" s="536"/>
      <c r="AK156" s="536"/>
      <c r="AL156" s="536"/>
      <c r="AM156" s="536"/>
      <c r="AN156" s="536"/>
      <c r="AO156" s="536"/>
      <c r="AP156" s="536"/>
      <c r="AQ156" s="536"/>
      <c r="AR156" s="536"/>
      <c r="AS156" s="536"/>
      <c r="AT156" s="536"/>
      <c r="AU156" s="536"/>
      <c r="AV156" s="536"/>
      <c r="AW156" s="536"/>
      <c r="AX156" s="536"/>
    </row>
    <row r="157" spans="7:50" x14ac:dyDescent="0.25">
      <c r="G157" s="536"/>
      <c r="H157" s="536"/>
      <c r="I157" s="536"/>
      <c r="J157" s="536"/>
      <c r="K157" s="536"/>
      <c r="L157" s="536"/>
      <c r="M157" s="536"/>
      <c r="N157" s="536"/>
      <c r="O157" s="536"/>
      <c r="P157" s="536"/>
      <c r="Q157" s="536"/>
      <c r="R157" s="536"/>
      <c r="S157" s="536"/>
      <c r="T157" s="536"/>
      <c r="U157" s="536"/>
      <c r="V157" s="536"/>
      <c r="W157" s="536"/>
      <c r="X157" s="536"/>
      <c r="Y157" s="536"/>
      <c r="Z157" s="536"/>
      <c r="AA157" s="536"/>
      <c r="AB157" s="536"/>
      <c r="AC157" s="536"/>
      <c r="AD157" s="536"/>
      <c r="AE157" s="536"/>
      <c r="AF157" s="536"/>
      <c r="AG157" s="536"/>
      <c r="AH157" s="536"/>
      <c r="AI157" s="536"/>
      <c r="AJ157" s="536"/>
      <c r="AK157" s="536"/>
      <c r="AL157" s="536"/>
      <c r="AM157" s="536"/>
      <c r="AN157" s="536"/>
      <c r="AO157" s="536"/>
      <c r="AP157" s="536"/>
      <c r="AQ157" s="536"/>
      <c r="AR157" s="536"/>
      <c r="AS157" s="536"/>
      <c r="AT157" s="536"/>
      <c r="AU157" s="536"/>
      <c r="AV157" s="536"/>
      <c r="AW157" s="536"/>
      <c r="AX157" s="536"/>
    </row>
    <row r="158" spans="7:50" x14ac:dyDescent="0.25">
      <c r="G158" s="536"/>
      <c r="H158" s="536"/>
      <c r="I158" s="536"/>
      <c r="J158" s="536"/>
      <c r="K158" s="536"/>
      <c r="L158" s="536"/>
      <c r="M158" s="536"/>
      <c r="N158" s="536"/>
      <c r="O158" s="536"/>
      <c r="P158" s="536"/>
      <c r="Q158" s="536"/>
      <c r="R158" s="536"/>
      <c r="S158" s="536"/>
      <c r="T158" s="536"/>
      <c r="U158" s="536"/>
      <c r="V158" s="536"/>
      <c r="W158" s="536"/>
      <c r="X158" s="536"/>
      <c r="Y158" s="536"/>
      <c r="Z158" s="536"/>
      <c r="AA158" s="536"/>
      <c r="AB158" s="536"/>
      <c r="AC158" s="536"/>
      <c r="AD158" s="536"/>
      <c r="AE158" s="536"/>
      <c r="AF158" s="536"/>
      <c r="AG158" s="536"/>
      <c r="AH158" s="536"/>
      <c r="AI158" s="536"/>
      <c r="AJ158" s="536"/>
      <c r="AK158" s="536"/>
      <c r="AL158" s="536"/>
      <c r="AM158" s="536"/>
      <c r="AN158" s="536"/>
      <c r="AO158" s="536"/>
      <c r="AP158" s="536"/>
      <c r="AQ158" s="536"/>
      <c r="AR158" s="536"/>
      <c r="AS158" s="536"/>
      <c r="AT158" s="536"/>
      <c r="AU158" s="536"/>
      <c r="AV158" s="536"/>
      <c r="AW158" s="536"/>
      <c r="AX158" s="536"/>
    </row>
    <row r="159" spans="7:50" x14ac:dyDescent="0.25">
      <c r="G159" s="536"/>
      <c r="H159" s="536"/>
      <c r="I159" s="536"/>
      <c r="J159" s="536"/>
      <c r="K159" s="536"/>
      <c r="L159" s="536"/>
      <c r="M159" s="536"/>
      <c r="N159" s="536"/>
      <c r="O159" s="536"/>
      <c r="P159" s="536"/>
      <c r="Q159" s="536"/>
      <c r="R159" s="536"/>
      <c r="S159" s="536"/>
      <c r="T159" s="536"/>
      <c r="U159" s="536"/>
      <c r="V159" s="536"/>
      <c r="W159" s="536"/>
      <c r="X159" s="536"/>
      <c r="Y159" s="536"/>
      <c r="Z159" s="536"/>
      <c r="AA159" s="536"/>
      <c r="AB159" s="536"/>
      <c r="AC159" s="536"/>
      <c r="AD159" s="536"/>
      <c r="AE159" s="536"/>
      <c r="AF159" s="536"/>
      <c r="AG159" s="536"/>
      <c r="AH159" s="536"/>
      <c r="AI159" s="536"/>
      <c r="AJ159" s="536"/>
      <c r="AK159" s="536"/>
      <c r="AL159" s="536"/>
      <c r="AM159" s="536"/>
      <c r="AN159" s="536"/>
      <c r="AO159" s="536"/>
      <c r="AP159" s="536"/>
      <c r="AQ159" s="536"/>
      <c r="AR159" s="536"/>
      <c r="AS159" s="536"/>
      <c r="AT159" s="536"/>
      <c r="AU159" s="536"/>
      <c r="AV159" s="536"/>
      <c r="AW159" s="536"/>
      <c r="AX159" s="536"/>
    </row>
    <row r="160" spans="7:50" x14ac:dyDescent="0.25">
      <c r="G160" s="536"/>
      <c r="H160" s="536"/>
      <c r="I160" s="536"/>
      <c r="J160" s="536"/>
      <c r="K160" s="536"/>
      <c r="L160" s="536"/>
      <c r="M160" s="536"/>
      <c r="N160" s="536"/>
      <c r="O160" s="536"/>
      <c r="P160" s="536"/>
      <c r="Q160" s="536"/>
      <c r="R160" s="536"/>
      <c r="S160" s="536"/>
      <c r="T160" s="536"/>
      <c r="U160" s="536"/>
      <c r="V160" s="536"/>
      <c r="W160" s="536"/>
      <c r="X160" s="536"/>
      <c r="Y160" s="536"/>
      <c r="Z160" s="536"/>
      <c r="AA160" s="536"/>
      <c r="AB160" s="536"/>
      <c r="AC160" s="536"/>
      <c r="AD160" s="536"/>
      <c r="AE160" s="536"/>
      <c r="AF160" s="536"/>
      <c r="AG160" s="536"/>
      <c r="AH160" s="536"/>
      <c r="AI160" s="536"/>
      <c r="AJ160" s="536"/>
      <c r="AK160" s="536"/>
      <c r="AL160" s="536"/>
      <c r="AM160" s="536"/>
      <c r="AN160" s="536"/>
      <c r="AO160" s="536"/>
      <c r="AP160" s="536"/>
      <c r="AQ160" s="536"/>
      <c r="AR160" s="536"/>
      <c r="AS160" s="536"/>
      <c r="AT160" s="536"/>
      <c r="AU160" s="536"/>
      <c r="AV160" s="536"/>
      <c r="AW160" s="536"/>
      <c r="AX160" s="536"/>
    </row>
    <row r="161" spans="7:50" x14ac:dyDescent="0.25">
      <c r="G161" s="536"/>
      <c r="H161" s="536"/>
      <c r="I161" s="536"/>
      <c r="J161" s="536"/>
      <c r="K161" s="536"/>
      <c r="L161" s="536"/>
      <c r="M161" s="536"/>
      <c r="N161" s="536"/>
      <c r="O161" s="536"/>
      <c r="P161" s="536"/>
      <c r="Q161" s="536"/>
      <c r="R161" s="536"/>
      <c r="S161" s="536"/>
      <c r="T161" s="536"/>
      <c r="U161" s="536"/>
      <c r="V161" s="536"/>
      <c r="W161" s="536"/>
      <c r="X161" s="536"/>
      <c r="Y161" s="536"/>
      <c r="Z161" s="536"/>
      <c r="AA161" s="536"/>
      <c r="AB161" s="536"/>
      <c r="AC161" s="536"/>
      <c r="AD161" s="536"/>
      <c r="AE161" s="536"/>
      <c r="AF161" s="536"/>
      <c r="AG161" s="536"/>
      <c r="AH161" s="536"/>
      <c r="AI161" s="536"/>
      <c r="AJ161" s="536"/>
      <c r="AK161" s="536"/>
      <c r="AL161" s="536"/>
      <c r="AM161" s="536"/>
      <c r="AN161" s="536"/>
      <c r="AO161" s="536"/>
      <c r="AP161" s="536"/>
      <c r="AQ161" s="536"/>
      <c r="AR161" s="536"/>
      <c r="AS161" s="536"/>
      <c r="AT161" s="536"/>
      <c r="AU161" s="536"/>
      <c r="AV161" s="536"/>
      <c r="AW161" s="536"/>
      <c r="AX161" s="536"/>
    </row>
    <row r="162" spans="7:50" x14ac:dyDescent="0.25">
      <c r="G162" s="536"/>
      <c r="H162" s="536"/>
      <c r="I162" s="536"/>
      <c r="J162" s="536"/>
      <c r="K162" s="536"/>
      <c r="L162" s="536"/>
      <c r="M162" s="536"/>
      <c r="N162" s="536"/>
      <c r="O162" s="536"/>
      <c r="P162" s="536"/>
      <c r="Q162" s="536"/>
      <c r="R162" s="536"/>
      <c r="S162" s="536"/>
      <c r="T162" s="536"/>
      <c r="U162" s="536"/>
      <c r="V162" s="536"/>
      <c r="W162" s="536"/>
      <c r="X162" s="536"/>
      <c r="Y162" s="536"/>
      <c r="Z162" s="536"/>
      <c r="AA162" s="536"/>
      <c r="AB162" s="536"/>
      <c r="AC162" s="536"/>
      <c r="AD162" s="536"/>
      <c r="AE162" s="536"/>
      <c r="AF162" s="536"/>
      <c r="AG162" s="536"/>
      <c r="AH162" s="536"/>
      <c r="AI162" s="536"/>
      <c r="AJ162" s="536"/>
      <c r="AK162" s="536"/>
      <c r="AL162" s="536"/>
      <c r="AM162" s="536"/>
      <c r="AN162" s="536"/>
      <c r="AO162" s="536"/>
      <c r="AP162" s="536"/>
      <c r="AQ162" s="536"/>
      <c r="AR162" s="536"/>
      <c r="AS162" s="536"/>
      <c r="AT162" s="536"/>
      <c r="AU162" s="536"/>
      <c r="AV162" s="536"/>
      <c r="AW162" s="536"/>
      <c r="AX162" s="536"/>
    </row>
    <row r="163" spans="7:50" x14ac:dyDescent="0.25">
      <c r="G163" s="536"/>
      <c r="H163" s="536"/>
      <c r="I163" s="536"/>
      <c r="J163" s="536"/>
      <c r="K163" s="536"/>
      <c r="L163" s="536"/>
      <c r="M163" s="536"/>
      <c r="N163" s="536"/>
      <c r="O163" s="536"/>
      <c r="P163" s="536"/>
      <c r="Q163" s="536"/>
      <c r="R163" s="536"/>
      <c r="S163" s="536"/>
      <c r="T163" s="536"/>
      <c r="U163" s="536"/>
      <c r="V163" s="536"/>
      <c r="W163" s="536"/>
      <c r="X163" s="536"/>
      <c r="Y163" s="536"/>
      <c r="Z163" s="536"/>
      <c r="AA163" s="536"/>
      <c r="AB163" s="536"/>
      <c r="AC163" s="536"/>
      <c r="AD163" s="536"/>
      <c r="AE163" s="536"/>
      <c r="AF163" s="536"/>
      <c r="AG163" s="536"/>
      <c r="AH163" s="536"/>
      <c r="AI163" s="536"/>
      <c r="AJ163" s="536"/>
      <c r="AK163" s="536"/>
      <c r="AL163" s="536"/>
      <c r="AM163" s="536"/>
      <c r="AN163" s="536"/>
      <c r="AO163" s="536"/>
      <c r="AP163" s="536"/>
      <c r="AQ163" s="536"/>
      <c r="AR163" s="536"/>
      <c r="AS163" s="536"/>
      <c r="AT163" s="536"/>
      <c r="AU163" s="536"/>
      <c r="AV163" s="536"/>
      <c r="AW163" s="536"/>
      <c r="AX163" s="536"/>
    </row>
    <row r="164" spans="7:50" x14ac:dyDescent="0.25">
      <c r="G164" s="536"/>
      <c r="H164" s="536"/>
      <c r="I164" s="536"/>
      <c r="J164" s="536"/>
      <c r="K164" s="536"/>
      <c r="L164" s="536"/>
      <c r="M164" s="536"/>
      <c r="N164" s="536"/>
      <c r="O164" s="536"/>
      <c r="P164" s="536"/>
      <c r="Q164" s="536"/>
      <c r="R164" s="536"/>
      <c r="S164" s="536"/>
      <c r="T164" s="536"/>
      <c r="U164" s="536"/>
      <c r="V164" s="536"/>
      <c r="W164" s="536"/>
      <c r="X164" s="536"/>
      <c r="Y164" s="536"/>
      <c r="Z164" s="536"/>
      <c r="AA164" s="536"/>
      <c r="AB164" s="536"/>
      <c r="AC164" s="536"/>
      <c r="AD164" s="536"/>
      <c r="AE164" s="536"/>
      <c r="AF164" s="536"/>
      <c r="AG164" s="536"/>
      <c r="AH164" s="536"/>
      <c r="AI164" s="536"/>
      <c r="AJ164" s="536"/>
      <c r="AK164" s="536"/>
      <c r="AL164" s="536"/>
      <c r="AM164" s="536"/>
      <c r="AN164" s="536"/>
      <c r="AO164" s="536"/>
      <c r="AP164" s="536"/>
      <c r="AQ164" s="536"/>
      <c r="AR164" s="536"/>
      <c r="AS164" s="536"/>
      <c r="AT164" s="536"/>
      <c r="AU164" s="536"/>
      <c r="AV164" s="536"/>
      <c r="AW164" s="536"/>
      <c r="AX164" s="536"/>
    </row>
    <row r="165" spans="7:50" x14ac:dyDescent="0.25">
      <c r="G165" s="536"/>
      <c r="H165" s="536"/>
      <c r="I165" s="536"/>
      <c r="J165" s="536"/>
      <c r="K165" s="536"/>
      <c r="L165" s="536"/>
      <c r="M165" s="536"/>
      <c r="N165" s="536"/>
      <c r="O165" s="536"/>
      <c r="P165" s="536"/>
      <c r="Q165" s="536"/>
      <c r="R165" s="536"/>
      <c r="S165" s="536"/>
      <c r="T165" s="536"/>
      <c r="U165" s="536"/>
      <c r="V165" s="536"/>
      <c r="W165" s="536"/>
      <c r="X165" s="536"/>
      <c r="Y165" s="536"/>
      <c r="Z165" s="536"/>
      <c r="AA165" s="536"/>
      <c r="AB165" s="536"/>
      <c r="AC165" s="536"/>
      <c r="AD165" s="536"/>
      <c r="AE165" s="536"/>
      <c r="AF165" s="536"/>
      <c r="AG165" s="536"/>
      <c r="AH165" s="536"/>
      <c r="AI165" s="536"/>
      <c r="AJ165" s="536"/>
      <c r="AK165" s="536"/>
      <c r="AL165" s="536"/>
      <c r="AM165" s="536"/>
      <c r="AN165" s="536"/>
      <c r="AO165" s="536"/>
      <c r="AP165" s="536"/>
      <c r="AQ165" s="536"/>
      <c r="AR165" s="536"/>
      <c r="AS165" s="536"/>
      <c r="AT165" s="536"/>
      <c r="AU165" s="536"/>
      <c r="AV165" s="536"/>
      <c r="AW165" s="536"/>
      <c r="AX165" s="536"/>
    </row>
    <row r="166" spans="7:50" x14ac:dyDescent="0.25">
      <c r="G166" s="536"/>
      <c r="H166" s="536"/>
      <c r="I166" s="536"/>
      <c r="J166" s="536"/>
      <c r="K166" s="536"/>
      <c r="L166" s="536"/>
      <c r="M166" s="536"/>
      <c r="N166" s="536"/>
      <c r="O166" s="536"/>
      <c r="P166" s="536"/>
      <c r="Q166" s="536"/>
      <c r="R166" s="536"/>
      <c r="S166" s="536"/>
      <c r="T166" s="536"/>
      <c r="U166" s="536"/>
      <c r="V166" s="536"/>
      <c r="W166" s="536"/>
      <c r="X166" s="536"/>
      <c r="Y166" s="536"/>
      <c r="Z166" s="536"/>
      <c r="AA166" s="536"/>
      <c r="AB166" s="536"/>
      <c r="AC166" s="536"/>
      <c r="AD166" s="536"/>
      <c r="AE166" s="536"/>
      <c r="AF166" s="536"/>
      <c r="AG166" s="536"/>
      <c r="AH166" s="536"/>
      <c r="AI166" s="536"/>
      <c r="AJ166" s="536"/>
      <c r="AK166" s="536"/>
      <c r="AL166" s="536"/>
      <c r="AM166" s="536"/>
      <c r="AN166" s="536"/>
      <c r="AO166" s="536"/>
      <c r="AP166" s="536"/>
      <c r="AQ166" s="536"/>
      <c r="AR166" s="536"/>
      <c r="AS166" s="536"/>
      <c r="AT166" s="536"/>
      <c r="AU166" s="536"/>
      <c r="AV166" s="536"/>
      <c r="AW166" s="536"/>
      <c r="AX166" s="536"/>
    </row>
    <row r="167" spans="7:50" x14ac:dyDescent="0.25">
      <c r="G167" s="536"/>
      <c r="H167" s="536"/>
      <c r="I167" s="536"/>
      <c r="J167" s="536"/>
      <c r="K167" s="536"/>
      <c r="L167" s="536"/>
      <c r="M167" s="536"/>
      <c r="N167" s="536"/>
      <c r="O167" s="536"/>
      <c r="P167" s="536"/>
      <c r="Q167" s="536"/>
      <c r="R167" s="536"/>
      <c r="S167" s="536"/>
      <c r="T167" s="536"/>
      <c r="U167" s="536"/>
      <c r="V167" s="536"/>
      <c r="W167" s="536"/>
      <c r="X167" s="536"/>
      <c r="Y167" s="536"/>
      <c r="Z167" s="536"/>
      <c r="AA167" s="536"/>
      <c r="AB167" s="536"/>
      <c r="AC167" s="536"/>
      <c r="AD167" s="536"/>
      <c r="AE167" s="536"/>
      <c r="AF167" s="536"/>
      <c r="AG167" s="536"/>
      <c r="AH167" s="536"/>
      <c r="AI167" s="536"/>
      <c r="AJ167" s="536"/>
      <c r="AK167" s="536"/>
      <c r="AL167" s="536"/>
      <c r="AM167" s="536"/>
      <c r="AN167" s="536"/>
      <c r="AO167" s="536"/>
      <c r="AP167" s="536"/>
      <c r="AQ167" s="536"/>
      <c r="AR167" s="536"/>
      <c r="AS167" s="536"/>
      <c r="AT167" s="536"/>
      <c r="AU167" s="536"/>
      <c r="AV167" s="536"/>
      <c r="AW167" s="536"/>
      <c r="AX167" s="536"/>
    </row>
    <row r="168" spans="7:50" x14ac:dyDescent="0.25">
      <c r="G168" s="536"/>
      <c r="H168" s="536"/>
      <c r="I168" s="536"/>
      <c r="J168" s="536"/>
      <c r="K168" s="536"/>
      <c r="L168" s="536"/>
      <c r="M168" s="536"/>
      <c r="N168" s="536"/>
      <c r="O168" s="536"/>
      <c r="P168" s="536"/>
      <c r="Q168" s="536"/>
      <c r="R168" s="536"/>
      <c r="S168" s="536"/>
      <c r="T168" s="536"/>
      <c r="U168" s="536"/>
      <c r="V168" s="536"/>
      <c r="W168" s="536"/>
      <c r="X168" s="536"/>
      <c r="Y168" s="536"/>
      <c r="Z168" s="536"/>
      <c r="AA168" s="536"/>
      <c r="AB168" s="536"/>
      <c r="AC168" s="536"/>
      <c r="AD168" s="536"/>
      <c r="AE168" s="536"/>
      <c r="AF168" s="536"/>
      <c r="AG168" s="536"/>
      <c r="AH168" s="536"/>
      <c r="AI168" s="536"/>
      <c r="AJ168" s="536"/>
      <c r="AK168" s="536"/>
      <c r="AL168" s="536"/>
      <c r="AM168" s="536"/>
      <c r="AN168" s="536"/>
      <c r="AO168" s="536"/>
      <c r="AP168" s="536"/>
      <c r="AQ168" s="536"/>
      <c r="AR168" s="536"/>
      <c r="AS168" s="536"/>
      <c r="AT168" s="536"/>
      <c r="AU168" s="536"/>
      <c r="AV168" s="536"/>
      <c r="AW168" s="536"/>
      <c r="AX168" s="536"/>
    </row>
    <row r="169" spans="7:50" x14ac:dyDescent="0.25">
      <c r="G169" s="536"/>
      <c r="H169" s="536"/>
      <c r="I169" s="536"/>
      <c r="J169" s="536"/>
      <c r="K169" s="536"/>
      <c r="L169" s="536"/>
      <c r="M169" s="536"/>
      <c r="N169" s="536"/>
      <c r="O169" s="536"/>
      <c r="P169" s="536"/>
      <c r="Q169" s="536"/>
      <c r="R169" s="536"/>
      <c r="S169" s="536"/>
      <c r="T169" s="536"/>
      <c r="U169" s="536"/>
      <c r="V169" s="536"/>
      <c r="W169" s="536"/>
      <c r="X169" s="536"/>
      <c r="Y169" s="536"/>
      <c r="Z169" s="536"/>
      <c r="AA169" s="536"/>
      <c r="AB169" s="536"/>
      <c r="AC169" s="536"/>
      <c r="AD169" s="536"/>
      <c r="AE169" s="536"/>
      <c r="AF169" s="536"/>
      <c r="AG169" s="536"/>
      <c r="AH169" s="536"/>
      <c r="AI169" s="536"/>
      <c r="AJ169" s="536"/>
      <c r="AK169" s="536"/>
      <c r="AL169" s="536"/>
      <c r="AM169" s="536"/>
      <c r="AN169" s="536"/>
      <c r="AO169" s="536"/>
      <c r="AP169" s="536"/>
      <c r="AQ169" s="536"/>
      <c r="AR169" s="536"/>
      <c r="AS169" s="536"/>
      <c r="AT169" s="536"/>
      <c r="AU169" s="536"/>
      <c r="AV169" s="536"/>
      <c r="AW169" s="536"/>
      <c r="AX169" s="536"/>
    </row>
    <row r="170" spans="7:50" x14ac:dyDescent="0.25">
      <c r="G170" s="536"/>
      <c r="H170" s="536"/>
      <c r="I170" s="536"/>
      <c r="J170" s="536"/>
      <c r="K170" s="536"/>
      <c r="L170" s="536"/>
      <c r="M170" s="536"/>
      <c r="N170" s="536"/>
      <c r="O170" s="536"/>
      <c r="P170" s="536"/>
      <c r="Q170" s="536"/>
      <c r="R170" s="536"/>
      <c r="S170" s="536"/>
      <c r="T170" s="536"/>
      <c r="U170" s="536"/>
      <c r="V170" s="536"/>
      <c r="W170" s="536"/>
      <c r="X170" s="536"/>
      <c r="Y170" s="536"/>
      <c r="Z170" s="536"/>
      <c r="AA170" s="536"/>
      <c r="AB170" s="536"/>
      <c r="AC170" s="536"/>
      <c r="AD170" s="536"/>
      <c r="AE170" s="536"/>
      <c r="AF170" s="536"/>
      <c r="AG170" s="536"/>
      <c r="AH170" s="536"/>
      <c r="AI170" s="536"/>
      <c r="AJ170" s="536"/>
      <c r="AK170" s="536"/>
      <c r="AL170" s="536"/>
      <c r="AM170" s="536"/>
      <c r="AN170" s="536"/>
      <c r="AO170" s="536"/>
      <c r="AP170" s="536"/>
      <c r="AQ170" s="536"/>
      <c r="AR170" s="536"/>
      <c r="AS170" s="536"/>
      <c r="AT170" s="536"/>
      <c r="AU170" s="536"/>
      <c r="AV170" s="536"/>
      <c r="AW170" s="536"/>
      <c r="AX170" s="536"/>
    </row>
    <row r="171" spans="7:50" x14ac:dyDescent="0.25">
      <c r="G171" s="536"/>
      <c r="H171" s="536"/>
      <c r="I171" s="536"/>
      <c r="J171" s="536"/>
      <c r="K171" s="536"/>
      <c r="L171" s="536"/>
      <c r="M171" s="536"/>
      <c r="N171" s="536"/>
      <c r="O171" s="536"/>
      <c r="P171" s="536"/>
      <c r="Q171" s="536"/>
      <c r="R171" s="536"/>
      <c r="S171" s="536"/>
      <c r="T171" s="536"/>
      <c r="U171" s="536"/>
      <c r="V171" s="536"/>
      <c r="W171" s="536"/>
      <c r="X171" s="536"/>
      <c r="Y171" s="536"/>
      <c r="Z171" s="536"/>
      <c r="AA171" s="536"/>
      <c r="AB171" s="536"/>
      <c r="AC171" s="536"/>
      <c r="AD171" s="536"/>
      <c r="AE171" s="536"/>
      <c r="AF171" s="536"/>
      <c r="AG171" s="536"/>
      <c r="AH171" s="536"/>
      <c r="AI171" s="536"/>
      <c r="AJ171" s="536"/>
      <c r="AK171" s="536"/>
      <c r="AL171" s="536"/>
      <c r="AM171" s="536"/>
      <c r="AN171" s="536"/>
      <c r="AO171" s="536"/>
      <c r="AP171" s="536"/>
      <c r="AQ171" s="536"/>
      <c r="AR171" s="536"/>
      <c r="AS171" s="536"/>
      <c r="AT171" s="536"/>
      <c r="AU171" s="536"/>
      <c r="AV171" s="536"/>
      <c r="AW171" s="536"/>
      <c r="AX171" s="536"/>
    </row>
    <row r="172" spans="7:50" x14ac:dyDescent="0.25">
      <c r="G172" s="536"/>
      <c r="H172" s="536"/>
      <c r="I172" s="536"/>
      <c r="J172" s="536"/>
      <c r="K172" s="536"/>
      <c r="L172" s="536"/>
      <c r="M172" s="536"/>
      <c r="N172" s="536"/>
      <c r="O172" s="536"/>
      <c r="P172" s="536"/>
      <c r="Q172" s="536"/>
      <c r="R172" s="536"/>
      <c r="S172" s="536"/>
      <c r="T172" s="536"/>
      <c r="U172" s="536"/>
      <c r="V172" s="536"/>
      <c r="W172" s="536"/>
      <c r="X172" s="536"/>
      <c r="Y172" s="536"/>
      <c r="Z172" s="536"/>
      <c r="AA172" s="536"/>
      <c r="AB172" s="536"/>
      <c r="AC172" s="536"/>
      <c r="AD172" s="536"/>
      <c r="AE172" s="536"/>
      <c r="AF172" s="536"/>
      <c r="AG172" s="536"/>
      <c r="AH172" s="536"/>
      <c r="AI172" s="536"/>
      <c r="AJ172" s="536"/>
      <c r="AK172" s="536"/>
      <c r="AL172" s="536"/>
      <c r="AM172" s="536"/>
      <c r="AN172" s="536"/>
      <c r="AO172" s="536"/>
      <c r="AP172" s="536"/>
      <c r="AQ172" s="536"/>
      <c r="AR172" s="536"/>
      <c r="AS172" s="536"/>
      <c r="AT172" s="536"/>
      <c r="AU172" s="536"/>
      <c r="AV172" s="536"/>
      <c r="AW172" s="536"/>
      <c r="AX172" s="536"/>
    </row>
    <row r="173" spans="7:50" x14ac:dyDescent="0.25">
      <c r="G173" s="536"/>
      <c r="H173" s="536"/>
      <c r="I173" s="536"/>
      <c r="J173" s="536"/>
      <c r="K173" s="536"/>
      <c r="L173" s="536"/>
      <c r="M173" s="536"/>
      <c r="N173" s="536"/>
      <c r="O173" s="536"/>
      <c r="P173" s="536"/>
      <c r="Q173" s="536"/>
      <c r="R173" s="536"/>
      <c r="S173" s="536"/>
      <c r="T173" s="536"/>
      <c r="U173" s="536"/>
      <c r="V173" s="536"/>
      <c r="W173" s="536"/>
      <c r="X173" s="536"/>
      <c r="Y173" s="536"/>
      <c r="Z173" s="536"/>
      <c r="AA173" s="536"/>
      <c r="AB173" s="536"/>
      <c r="AC173" s="536"/>
      <c r="AD173" s="536"/>
      <c r="AE173" s="536"/>
      <c r="AF173" s="536"/>
      <c r="AG173" s="536"/>
      <c r="AH173" s="536"/>
      <c r="AI173" s="536"/>
      <c r="AJ173" s="536"/>
      <c r="AK173" s="536"/>
      <c r="AL173" s="536"/>
      <c r="AM173" s="536"/>
      <c r="AN173" s="536"/>
      <c r="AO173" s="536"/>
      <c r="AP173" s="536"/>
      <c r="AQ173" s="536"/>
      <c r="AR173" s="536"/>
      <c r="AS173" s="536"/>
      <c r="AT173" s="536"/>
      <c r="AU173" s="536"/>
      <c r="AV173" s="536"/>
      <c r="AW173" s="536"/>
      <c r="AX173" s="536"/>
    </row>
    <row r="174" spans="7:50" x14ac:dyDescent="0.25">
      <c r="G174" s="536"/>
      <c r="H174" s="536"/>
      <c r="I174" s="536"/>
      <c r="J174" s="536"/>
      <c r="K174" s="536"/>
      <c r="L174" s="536"/>
      <c r="M174" s="536"/>
      <c r="N174" s="536"/>
      <c r="O174" s="536"/>
      <c r="P174" s="536"/>
      <c r="Q174" s="536"/>
      <c r="R174" s="536"/>
      <c r="S174" s="536"/>
      <c r="T174" s="536"/>
      <c r="U174" s="536"/>
      <c r="V174" s="536"/>
      <c r="W174" s="536"/>
      <c r="X174" s="536"/>
      <c r="Y174" s="536"/>
      <c r="Z174" s="536"/>
      <c r="AA174" s="536"/>
      <c r="AB174" s="536"/>
      <c r="AC174" s="536"/>
      <c r="AD174" s="536"/>
      <c r="AE174" s="536"/>
      <c r="AF174" s="536"/>
      <c r="AG174" s="536"/>
      <c r="AH174" s="536"/>
      <c r="AI174" s="536"/>
      <c r="AJ174" s="536"/>
      <c r="AK174" s="536"/>
      <c r="AL174" s="536"/>
      <c r="AM174" s="536"/>
      <c r="AN174" s="536"/>
      <c r="AO174" s="536"/>
      <c r="AP174" s="536"/>
      <c r="AQ174" s="536"/>
      <c r="AR174" s="536"/>
      <c r="AS174" s="536"/>
      <c r="AT174" s="536"/>
      <c r="AU174" s="536"/>
      <c r="AV174" s="536"/>
      <c r="AW174" s="536"/>
      <c r="AX174" s="536"/>
    </row>
    <row r="175" spans="7:50" x14ac:dyDescent="0.25">
      <c r="G175" s="536"/>
      <c r="H175" s="536"/>
      <c r="I175" s="536"/>
      <c r="J175" s="536"/>
      <c r="K175" s="536"/>
      <c r="L175" s="536"/>
      <c r="M175" s="536"/>
      <c r="N175" s="536"/>
      <c r="O175" s="536"/>
      <c r="P175" s="536"/>
      <c r="Q175" s="536"/>
      <c r="R175" s="536"/>
      <c r="S175" s="536"/>
      <c r="T175" s="536"/>
      <c r="U175" s="536"/>
      <c r="V175" s="536"/>
      <c r="W175" s="536"/>
      <c r="X175" s="536"/>
      <c r="Y175" s="536"/>
      <c r="Z175" s="536"/>
      <c r="AA175" s="536"/>
      <c r="AB175" s="536"/>
      <c r="AC175" s="536"/>
      <c r="AD175" s="536"/>
      <c r="AE175" s="536"/>
      <c r="AF175" s="536"/>
      <c r="AG175" s="536"/>
      <c r="AH175" s="536"/>
      <c r="AI175" s="536"/>
      <c r="AJ175" s="536"/>
      <c r="AK175" s="536"/>
      <c r="AL175" s="536"/>
      <c r="AM175" s="536"/>
      <c r="AN175" s="536"/>
      <c r="AO175" s="536"/>
      <c r="AP175" s="536"/>
      <c r="AQ175" s="536"/>
      <c r="AR175" s="536"/>
      <c r="AS175" s="536"/>
      <c r="AT175" s="536"/>
      <c r="AU175" s="536"/>
      <c r="AV175" s="536"/>
      <c r="AW175" s="536"/>
      <c r="AX175" s="536"/>
    </row>
    <row r="176" spans="7:50" x14ac:dyDescent="0.25">
      <c r="G176" s="536"/>
      <c r="H176" s="536"/>
      <c r="I176" s="536"/>
      <c r="J176" s="536"/>
      <c r="K176" s="536"/>
      <c r="L176" s="536"/>
      <c r="M176" s="536"/>
      <c r="N176" s="536"/>
      <c r="O176" s="536"/>
      <c r="P176" s="536"/>
      <c r="Q176" s="536"/>
      <c r="R176" s="536"/>
      <c r="S176" s="536"/>
      <c r="T176" s="536"/>
      <c r="U176" s="536"/>
      <c r="V176" s="536"/>
      <c r="W176" s="536"/>
      <c r="X176" s="536"/>
      <c r="Y176" s="536"/>
      <c r="Z176" s="536"/>
      <c r="AA176" s="536"/>
      <c r="AB176" s="536"/>
      <c r="AC176" s="536"/>
      <c r="AD176" s="536"/>
      <c r="AE176" s="536"/>
      <c r="AF176" s="536"/>
      <c r="AG176" s="536"/>
      <c r="AH176" s="536"/>
      <c r="AI176" s="536"/>
      <c r="AJ176" s="536"/>
      <c r="AK176" s="536"/>
      <c r="AL176" s="536"/>
      <c r="AM176" s="536"/>
      <c r="AN176" s="536"/>
      <c r="AO176" s="536"/>
      <c r="AP176" s="536"/>
      <c r="AQ176" s="536"/>
      <c r="AR176" s="536"/>
      <c r="AS176" s="536"/>
      <c r="AT176" s="536"/>
      <c r="AU176" s="536"/>
      <c r="AV176" s="536"/>
      <c r="AW176" s="536"/>
      <c r="AX176" s="536"/>
    </row>
    <row r="177" spans="7:50" x14ac:dyDescent="0.25">
      <c r="G177" s="536"/>
      <c r="H177" s="536"/>
      <c r="I177" s="536"/>
      <c r="J177" s="536"/>
      <c r="K177" s="536"/>
      <c r="L177" s="536"/>
      <c r="M177" s="536"/>
      <c r="N177" s="536"/>
      <c r="O177" s="536"/>
      <c r="P177" s="536"/>
      <c r="Q177" s="536"/>
      <c r="R177" s="536"/>
      <c r="S177" s="536"/>
      <c r="T177" s="536"/>
      <c r="U177" s="536"/>
      <c r="V177" s="536"/>
      <c r="W177" s="536"/>
      <c r="X177" s="536"/>
      <c r="Y177" s="536"/>
      <c r="Z177" s="536"/>
      <c r="AA177" s="536"/>
      <c r="AB177" s="536"/>
      <c r="AC177" s="536"/>
      <c r="AD177" s="536"/>
      <c r="AE177" s="536"/>
      <c r="AF177" s="536"/>
      <c r="AG177" s="536"/>
      <c r="AH177" s="536"/>
      <c r="AI177" s="536"/>
      <c r="AJ177" s="536"/>
      <c r="AK177" s="536"/>
      <c r="AL177" s="536"/>
      <c r="AM177" s="536"/>
      <c r="AN177" s="536"/>
      <c r="AO177" s="536"/>
      <c r="AP177" s="536"/>
      <c r="AQ177" s="536"/>
      <c r="AR177" s="536"/>
      <c r="AS177" s="536"/>
      <c r="AT177" s="536"/>
      <c r="AU177" s="536"/>
      <c r="AV177" s="536"/>
      <c r="AW177" s="536"/>
      <c r="AX177" s="536"/>
    </row>
    <row r="178" spans="7:50" x14ac:dyDescent="0.25">
      <c r="G178" s="536"/>
      <c r="H178" s="536"/>
      <c r="I178" s="536"/>
      <c r="J178" s="536"/>
      <c r="K178" s="536"/>
      <c r="L178" s="536"/>
      <c r="M178" s="536"/>
      <c r="N178" s="536"/>
      <c r="O178" s="536"/>
      <c r="P178" s="536"/>
      <c r="Q178" s="536"/>
      <c r="R178" s="536"/>
      <c r="S178" s="536"/>
      <c r="T178" s="536"/>
      <c r="U178" s="536"/>
      <c r="V178" s="536"/>
      <c r="W178" s="536"/>
      <c r="X178" s="536"/>
      <c r="Y178" s="536"/>
      <c r="Z178" s="536"/>
      <c r="AA178" s="536"/>
      <c r="AB178" s="536"/>
      <c r="AC178" s="536"/>
      <c r="AD178" s="536"/>
      <c r="AE178" s="536"/>
      <c r="AF178" s="536"/>
      <c r="AG178" s="536"/>
      <c r="AH178" s="536"/>
      <c r="AI178" s="536"/>
      <c r="AJ178" s="536"/>
      <c r="AK178" s="536"/>
      <c r="AL178" s="536"/>
      <c r="AM178" s="536"/>
      <c r="AN178" s="536"/>
      <c r="AO178" s="536"/>
      <c r="AP178" s="536"/>
      <c r="AQ178" s="536"/>
      <c r="AR178" s="536"/>
      <c r="AS178" s="536"/>
      <c r="AT178" s="536"/>
      <c r="AU178" s="536"/>
      <c r="AV178" s="536"/>
      <c r="AW178" s="536"/>
      <c r="AX178" s="536"/>
    </row>
    <row r="179" spans="7:50" x14ac:dyDescent="0.25">
      <c r="G179" s="536"/>
      <c r="H179" s="536"/>
      <c r="I179" s="536"/>
      <c r="J179" s="536"/>
      <c r="K179" s="536"/>
      <c r="L179" s="536"/>
      <c r="M179" s="536"/>
      <c r="N179" s="536"/>
      <c r="O179" s="536"/>
      <c r="P179" s="536"/>
      <c r="Q179" s="536"/>
      <c r="R179" s="536"/>
      <c r="S179" s="536"/>
      <c r="T179" s="536"/>
      <c r="U179" s="536"/>
      <c r="V179" s="536"/>
      <c r="W179" s="536"/>
      <c r="X179" s="536"/>
      <c r="Y179" s="536"/>
      <c r="Z179" s="536"/>
      <c r="AA179" s="536"/>
      <c r="AB179" s="536"/>
      <c r="AC179" s="536"/>
      <c r="AD179" s="536"/>
      <c r="AE179" s="536"/>
      <c r="AF179" s="536"/>
      <c r="AG179" s="536"/>
      <c r="AH179" s="536"/>
      <c r="AI179" s="536"/>
      <c r="AJ179" s="536"/>
      <c r="AK179" s="536"/>
      <c r="AL179" s="536"/>
      <c r="AM179" s="536"/>
      <c r="AN179" s="536"/>
      <c r="AO179" s="536"/>
      <c r="AP179" s="536"/>
      <c r="AQ179" s="536"/>
      <c r="AR179" s="536"/>
      <c r="AS179" s="536"/>
      <c r="AT179" s="536"/>
      <c r="AU179" s="536"/>
      <c r="AV179" s="536"/>
      <c r="AW179" s="536"/>
      <c r="AX179" s="536"/>
    </row>
    <row r="180" spans="7:50" x14ac:dyDescent="0.25">
      <c r="G180" s="536"/>
      <c r="H180" s="536"/>
      <c r="I180" s="536"/>
      <c r="J180" s="536"/>
      <c r="K180" s="536"/>
      <c r="L180" s="536"/>
      <c r="M180" s="536"/>
      <c r="N180" s="536"/>
      <c r="O180" s="536"/>
      <c r="P180" s="536"/>
      <c r="Q180" s="536"/>
      <c r="R180" s="536"/>
      <c r="S180" s="536"/>
      <c r="T180" s="536"/>
      <c r="U180" s="536"/>
      <c r="V180" s="536"/>
      <c r="W180" s="536"/>
      <c r="X180" s="536"/>
      <c r="Y180" s="536"/>
      <c r="Z180" s="536"/>
      <c r="AA180" s="536"/>
      <c r="AB180" s="536"/>
      <c r="AC180" s="536"/>
      <c r="AD180" s="536"/>
      <c r="AE180" s="536"/>
      <c r="AF180" s="536"/>
      <c r="AG180" s="536"/>
      <c r="AH180" s="536"/>
      <c r="AI180" s="536"/>
      <c r="AJ180" s="536"/>
      <c r="AK180" s="536"/>
      <c r="AL180" s="536"/>
      <c r="AM180" s="536"/>
      <c r="AN180" s="536"/>
      <c r="AO180" s="536"/>
      <c r="AP180" s="536"/>
      <c r="AQ180" s="536"/>
      <c r="AR180" s="536"/>
      <c r="AS180" s="536"/>
      <c r="AT180" s="536"/>
      <c r="AU180" s="536"/>
      <c r="AV180" s="536"/>
      <c r="AW180" s="536"/>
      <c r="AX180" s="536"/>
    </row>
    <row r="181" spans="7:50" x14ac:dyDescent="0.25">
      <c r="G181" s="536"/>
      <c r="H181" s="536"/>
      <c r="I181" s="536"/>
      <c r="J181" s="536"/>
      <c r="K181" s="536"/>
      <c r="L181" s="536"/>
      <c r="M181" s="536"/>
      <c r="N181" s="536"/>
      <c r="O181" s="536"/>
      <c r="P181" s="536"/>
      <c r="Q181" s="536"/>
      <c r="R181" s="536"/>
      <c r="S181" s="536"/>
      <c r="T181" s="536"/>
      <c r="U181" s="536"/>
      <c r="V181" s="536"/>
      <c r="W181" s="536"/>
      <c r="X181" s="536"/>
      <c r="Y181" s="536"/>
      <c r="Z181" s="536"/>
      <c r="AA181" s="536"/>
      <c r="AB181" s="536"/>
      <c r="AC181" s="536"/>
      <c r="AD181" s="536"/>
      <c r="AE181" s="536"/>
      <c r="AF181" s="536"/>
      <c r="AG181" s="536"/>
      <c r="AH181" s="536"/>
      <c r="AI181" s="536"/>
      <c r="AJ181" s="536"/>
      <c r="AK181" s="536"/>
      <c r="AL181" s="536"/>
      <c r="AM181" s="536"/>
      <c r="AN181" s="536"/>
      <c r="AO181" s="536"/>
      <c r="AP181" s="536"/>
      <c r="AQ181" s="536"/>
      <c r="AR181" s="536"/>
      <c r="AS181" s="536"/>
      <c r="AT181" s="536"/>
      <c r="AU181" s="536"/>
      <c r="AV181" s="536"/>
      <c r="AW181" s="536"/>
      <c r="AX181" s="536"/>
    </row>
    <row r="182" spans="7:50" x14ac:dyDescent="0.25">
      <c r="G182" s="536"/>
      <c r="H182" s="536"/>
      <c r="I182" s="536"/>
      <c r="J182" s="536"/>
      <c r="K182" s="536"/>
      <c r="L182" s="536"/>
      <c r="M182" s="536"/>
      <c r="N182" s="536"/>
      <c r="O182" s="536"/>
      <c r="P182" s="536"/>
      <c r="Q182" s="536"/>
      <c r="R182" s="536"/>
      <c r="S182" s="536"/>
      <c r="T182" s="536"/>
      <c r="U182" s="536"/>
      <c r="V182" s="536"/>
      <c r="W182" s="536"/>
      <c r="X182" s="536"/>
      <c r="Y182" s="536"/>
      <c r="Z182" s="536"/>
      <c r="AA182" s="536"/>
      <c r="AB182" s="536"/>
      <c r="AC182" s="536"/>
      <c r="AD182" s="536"/>
      <c r="AE182" s="536"/>
      <c r="AF182" s="536"/>
      <c r="AG182" s="536"/>
      <c r="AH182" s="536"/>
      <c r="AI182" s="536"/>
      <c r="AJ182" s="536"/>
      <c r="AK182" s="536"/>
      <c r="AL182" s="536"/>
      <c r="AM182" s="536"/>
      <c r="AN182" s="536"/>
      <c r="AO182" s="536"/>
      <c r="AP182" s="536"/>
      <c r="AQ182" s="536"/>
      <c r="AR182" s="536"/>
      <c r="AS182" s="536"/>
      <c r="AT182" s="536"/>
      <c r="AU182" s="536"/>
      <c r="AV182" s="536"/>
      <c r="AW182" s="536"/>
      <c r="AX182" s="536"/>
    </row>
    <row r="183" spans="7:50" x14ac:dyDescent="0.25">
      <c r="G183" s="536"/>
      <c r="H183" s="536"/>
      <c r="I183" s="536"/>
      <c r="J183" s="536"/>
      <c r="K183" s="536"/>
      <c r="L183" s="536"/>
      <c r="M183" s="536"/>
      <c r="N183" s="536"/>
      <c r="O183" s="536"/>
      <c r="P183" s="536"/>
      <c r="Q183" s="536"/>
      <c r="R183" s="536"/>
      <c r="S183" s="536"/>
      <c r="T183" s="536"/>
      <c r="U183" s="536"/>
      <c r="V183" s="536"/>
      <c r="W183" s="536"/>
      <c r="X183" s="536"/>
      <c r="Y183" s="536"/>
      <c r="Z183" s="536"/>
      <c r="AA183" s="536"/>
      <c r="AB183" s="536"/>
      <c r="AC183" s="536"/>
      <c r="AD183" s="536"/>
      <c r="AE183" s="536"/>
      <c r="AF183" s="536"/>
      <c r="AG183" s="536"/>
      <c r="AH183" s="536"/>
      <c r="AI183" s="536"/>
      <c r="AJ183" s="536"/>
      <c r="AK183" s="536"/>
      <c r="AL183" s="536"/>
      <c r="AM183" s="536"/>
      <c r="AN183" s="536"/>
      <c r="AO183" s="536"/>
      <c r="AP183" s="536"/>
      <c r="AQ183" s="536"/>
      <c r="AR183" s="536"/>
      <c r="AS183" s="536"/>
      <c r="AT183" s="536"/>
      <c r="AU183" s="536"/>
      <c r="AV183" s="536"/>
      <c r="AW183" s="536"/>
      <c r="AX183" s="536"/>
    </row>
    <row r="184" spans="7:50" x14ac:dyDescent="0.25">
      <c r="G184" s="536"/>
      <c r="H184" s="536"/>
      <c r="I184" s="536"/>
      <c r="J184" s="536"/>
      <c r="K184" s="536"/>
      <c r="L184" s="536"/>
      <c r="M184" s="536"/>
      <c r="N184" s="536"/>
      <c r="O184" s="536"/>
      <c r="P184" s="536"/>
      <c r="Q184" s="536"/>
      <c r="R184" s="536"/>
      <c r="S184" s="536"/>
      <c r="T184" s="536"/>
      <c r="U184" s="536"/>
      <c r="V184" s="536"/>
      <c r="W184" s="536"/>
      <c r="X184" s="536"/>
      <c r="Y184" s="536"/>
      <c r="Z184" s="536"/>
      <c r="AA184" s="536"/>
      <c r="AB184" s="536"/>
      <c r="AC184" s="536"/>
      <c r="AD184" s="536"/>
      <c r="AE184" s="536"/>
      <c r="AF184" s="536"/>
      <c r="AG184" s="536"/>
      <c r="AH184" s="536"/>
      <c r="AI184" s="536"/>
      <c r="AJ184" s="536"/>
      <c r="AK184" s="536"/>
      <c r="AL184" s="536"/>
      <c r="AM184" s="536"/>
      <c r="AN184" s="536"/>
      <c r="AO184" s="536"/>
      <c r="AP184" s="536"/>
      <c r="AQ184" s="536"/>
      <c r="AR184" s="536"/>
      <c r="AS184" s="536"/>
      <c r="AT184" s="536"/>
      <c r="AU184" s="536"/>
      <c r="AV184" s="536"/>
      <c r="AW184" s="536"/>
      <c r="AX184" s="536"/>
    </row>
    <row r="185" spans="7:50" x14ac:dyDescent="0.25">
      <c r="G185" s="536"/>
      <c r="H185" s="536"/>
      <c r="I185" s="536"/>
      <c r="J185" s="536"/>
      <c r="K185" s="536"/>
      <c r="L185" s="536"/>
      <c r="M185" s="536"/>
      <c r="N185" s="536"/>
      <c r="O185" s="536"/>
      <c r="P185" s="536"/>
      <c r="Q185" s="536"/>
      <c r="R185" s="536"/>
      <c r="S185" s="536"/>
      <c r="T185" s="536"/>
      <c r="U185" s="536"/>
      <c r="V185" s="536"/>
      <c r="W185" s="536"/>
      <c r="X185" s="536"/>
      <c r="Y185" s="536"/>
      <c r="Z185" s="536"/>
      <c r="AA185" s="536"/>
      <c r="AB185" s="536"/>
      <c r="AC185" s="536"/>
      <c r="AD185" s="536"/>
      <c r="AE185" s="536"/>
      <c r="AF185" s="536"/>
      <c r="AG185" s="536"/>
      <c r="AH185" s="536"/>
      <c r="AI185" s="536"/>
      <c r="AJ185" s="536"/>
      <c r="AK185" s="536"/>
      <c r="AL185" s="536"/>
      <c r="AM185" s="536"/>
      <c r="AN185" s="536"/>
      <c r="AO185" s="536"/>
      <c r="AP185" s="536"/>
      <c r="AQ185" s="536"/>
      <c r="AR185" s="536"/>
      <c r="AS185" s="536"/>
      <c r="AT185" s="536"/>
      <c r="AU185" s="536"/>
      <c r="AV185" s="536"/>
      <c r="AW185" s="536"/>
      <c r="AX185" s="536"/>
    </row>
    <row r="186" spans="7:50" x14ac:dyDescent="0.25">
      <c r="G186" s="536"/>
      <c r="H186" s="536"/>
      <c r="I186" s="536"/>
      <c r="J186" s="536"/>
      <c r="K186" s="536"/>
      <c r="L186" s="536"/>
      <c r="M186" s="536"/>
      <c r="N186" s="536"/>
      <c r="O186" s="536"/>
      <c r="P186" s="536"/>
      <c r="Q186" s="536"/>
      <c r="R186" s="536"/>
      <c r="S186" s="536"/>
      <c r="T186" s="536"/>
      <c r="U186" s="536"/>
      <c r="V186" s="536"/>
      <c r="W186" s="536"/>
      <c r="X186" s="536"/>
      <c r="Y186" s="536"/>
      <c r="Z186" s="536"/>
      <c r="AA186" s="536"/>
      <c r="AB186" s="536"/>
      <c r="AC186" s="536"/>
      <c r="AD186" s="536"/>
      <c r="AE186" s="536"/>
      <c r="AF186" s="536"/>
      <c r="AG186" s="536"/>
      <c r="AH186" s="536"/>
      <c r="AI186" s="536"/>
      <c r="AJ186" s="536"/>
      <c r="AK186" s="536"/>
      <c r="AL186" s="536"/>
      <c r="AM186" s="536"/>
      <c r="AN186" s="536"/>
      <c r="AO186" s="536"/>
      <c r="AP186" s="536"/>
      <c r="AQ186" s="536"/>
      <c r="AR186" s="536"/>
      <c r="AS186" s="536"/>
      <c r="AT186" s="536"/>
      <c r="AU186" s="536"/>
      <c r="AV186" s="536"/>
      <c r="AW186" s="536"/>
      <c r="AX186" s="536"/>
    </row>
    <row r="187" spans="7:50" x14ac:dyDescent="0.25">
      <c r="G187" s="536"/>
      <c r="H187" s="536"/>
      <c r="I187" s="536"/>
      <c r="J187" s="536"/>
      <c r="K187" s="536"/>
      <c r="L187" s="536"/>
      <c r="M187" s="536"/>
      <c r="N187" s="536"/>
      <c r="O187" s="536"/>
      <c r="P187" s="536"/>
      <c r="Q187" s="536"/>
      <c r="R187" s="536"/>
      <c r="S187" s="536"/>
      <c r="T187" s="536"/>
      <c r="U187" s="536"/>
      <c r="V187" s="536"/>
      <c r="W187" s="536"/>
      <c r="X187" s="536"/>
      <c r="Y187" s="536"/>
      <c r="Z187" s="536"/>
      <c r="AA187" s="536"/>
      <c r="AB187" s="536"/>
      <c r="AC187" s="536"/>
      <c r="AD187" s="536"/>
      <c r="AE187" s="536"/>
      <c r="AF187" s="536"/>
      <c r="AG187" s="536"/>
      <c r="AH187" s="536"/>
      <c r="AI187" s="536"/>
      <c r="AJ187" s="536"/>
      <c r="AK187" s="536"/>
      <c r="AL187" s="536"/>
      <c r="AM187" s="536"/>
      <c r="AN187" s="536"/>
      <c r="AO187" s="536"/>
      <c r="AP187" s="536"/>
      <c r="AQ187" s="536"/>
      <c r="AR187" s="536"/>
      <c r="AS187" s="536"/>
      <c r="AT187" s="536"/>
      <c r="AU187" s="536"/>
      <c r="AV187" s="536"/>
      <c r="AW187" s="536"/>
      <c r="AX187" s="536"/>
    </row>
    <row r="188" spans="7:50" x14ac:dyDescent="0.25">
      <c r="G188" s="536"/>
      <c r="H188" s="536"/>
      <c r="I188" s="536"/>
      <c r="J188" s="536"/>
      <c r="K188" s="536"/>
      <c r="L188" s="536"/>
      <c r="M188" s="536"/>
      <c r="N188" s="536"/>
      <c r="O188" s="536"/>
      <c r="P188" s="536"/>
      <c r="Q188" s="536"/>
      <c r="R188" s="536"/>
      <c r="S188" s="536"/>
      <c r="T188" s="536"/>
      <c r="U188" s="536"/>
      <c r="V188" s="536"/>
      <c r="W188" s="536"/>
      <c r="X188" s="536"/>
      <c r="Y188" s="536"/>
      <c r="Z188" s="536"/>
      <c r="AA188" s="536"/>
      <c r="AB188" s="536"/>
      <c r="AC188" s="536"/>
      <c r="AD188" s="536"/>
      <c r="AE188" s="536"/>
      <c r="AF188" s="536"/>
      <c r="AG188" s="536"/>
      <c r="AH188" s="536"/>
      <c r="AI188" s="536"/>
      <c r="AJ188" s="536"/>
      <c r="AK188" s="536"/>
      <c r="AL188" s="536"/>
      <c r="AM188" s="536"/>
      <c r="AN188" s="536"/>
      <c r="AO188" s="536"/>
      <c r="AP188" s="536"/>
      <c r="AQ188" s="536"/>
      <c r="AR188" s="536"/>
      <c r="AS188" s="536"/>
      <c r="AT188" s="536"/>
      <c r="AU188" s="536"/>
      <c r="AV188" s="536"/>
      <c r="AW188" s="536"/>
      <c r="AX188" s="536"/>
    </row>
    <row r="189" spans="7:50" x14ac:dyDescent="0.25">
      <c r="G189" s="536"/>
      <c r="H189" s="536"/>
      <c r="I189" s="536"/>
      <c r="J189" s="536"/>
      <c r="K189" s="536"/>
      <c r="L189" s="536"/>
      <c r="M189" s="536"/>
      <c r="N189" s="536"/>
      <c r="O189" s="536"/>
      <c r="P189" s="536"/>
      <c r="Q189" s="536"/>
      <c r="R189" s="536"/>
      <c r="S189" s="536"/>
      <c r="T189" s="536"/>
      <c r="U189" s="536"/>
      <c r="V189" s="536"/>
      <c r="W189" s="536"/>
      <c r="X189" s="536"/>
      <c r="Y189" s="536"/>
      <c r="Z189" s="536"/>
      <c r="AA189" s="536"/>
      <c r="AB189" s="536"/>
      <c r="AC189" s="536"/>
      <c r="AD189" s="536"/>
      <c r="AE189" s="536"/>
      <c r="AF189" s="536"/>
      <c r="AG189" s="536"/>
      <c r="AH189" s="536"/>
      <c r="AI189" s="536"/>
      <c r="AJ189" s="536"/>
      <c r="AK189" s="536"/>
      <c r="AL189" s="536"/>
      <c r="AM189" s="536"/>
      <c r="AN189" s="536"/>
      <c r="AO189" s="536"/>
      <c r="AP189" s="536"/>
      <c r="AQ189" s="536"/>
      <c r="AR189" s="536"/>
      <c r="AS189" s="536"/>
      <c r="AT189" s="536"/>
      <c r="AU189" s="536"/>
      <c r="AV189" s="536"/>
      <c r="AW189" s="536"/>
      <c r="AX189" s="536"/>
    </row>
    <row r="190" spans="7:50" x14ac:dyDescent="0.25">
      <c r="G190" s="536"/>
      <c r="H190" s="536"/>
      <c r="I190" s="536"/>
      <c r="J190" s="536"/>
      <c r="K190" s="536"/>
      <c r="L190" s="536"/>
      <c r="M190" s="536"/>
      <c r="N190" s="536"/>
      <c r="O190" s="536"/>
      <c r="P190" s="536"/>
      <c r="Q190" s="536"/>
      <c r="R190" s="536"/>
      <c r="S190" s="536"/>
      <c r="T190" s="536"/>
      <c r="U190" s="536"/>
      <c r="V190" s="536"/>
      <c r="W190" s="536"/>
      <c r="X190" s="536"/>
      <c r="Y190" s="536"/>
      <c r="Z190" s="536"/>
      <c r="AA190" s="536"/>
      <c r="AB190" s="536"/>
      <c r="AC190" s="536"/>
      <c r="AD190" s="536"/>
      <c r="AE190" s="536"/>
      <c r="AF190" s="536"/>
      <c r="AG190" s="536"/>
      <c r="AH190" s="536"/>
      <c r="AI190" s="536"/>
      <c r="AJ190" s="536"/>
      <c r="AK190" s="536"/>
      <c r="AL190" s="536"/>
      <c r="AM190" s="536"/>
      <c r="AN190" s="536"/>
      <c r="AO190" s="536"/>
      <c r="AP190" s="536"/>
      <c r="AQ190" s="536"/>
      <c r="AR190" s="536"/>
      <c r="AS190" s="536"/>
      <c r="AT190" s="536"/>
      <c r="AU190" s="536"/>
      <c r="AV190" s="536"/>
      <c r="AW190" s="536"/>
      <c r="AX190" s="536"/>
    </row>
    <row r="191" spans="7:50" x14ac:dyDescent="0.25">
      <c r="G191" s="536"/>
      <c r="H191" s="536"/>
      <c r="I191" s="536"/>
      <c r="J191" s="536"/>
      <c r="K191" s="536"/>
      <c r="L191" s="536"/>
      <c r="M191" s="536"/>
      <c r="N191" s="536"/>
      <c r="O191" s="536"/>
      <c r="P191" s="536"/>
      <c r="Q191" s="536"/>
      <c r="R191" s="536"/>
      <c r="S191" s="536"/>
      <c r="T191" s="536"/>
      <c r="U191" s="536"/>
      <c r="V191" s="536"/>
      <c r="W191" s="536"/>
      <c r="X191" s="536"/>
      <c r="Y191" s="536"/>
      <c r="Z191" s="536"/>
      <c r="AA191" s="536"/>
      <c r="AB191" s="536"/>
      <c r="AC191" s="536"/>
      <c r="AD191" s="536"/>
      <c r="AE191" s="536"/>
      <c r="AF191" s="536"/>
      <c r="AG191" s="536"/>
      <c r="AH191" s="536"/>
      <c r="AI191" s="536"/>
      <c r="AJ191" s="536"/>
      <c r="AK191" s="536"/>
      <c r="AL191" s="536"/>
      <c r="AM191" s="536"/>
      <c r="AN191" s="536"/>
      <c r="AO191" s="536"/>
      <c r="AP191" s="536"/>
      <c r="AQ191" s="536"/>
      <c r="AR191" s="536"/>
      <c r="AS191" s="536"/>
      <c r="AT191" s="536"/>
      <c r="AU191" s="536"/>
      <c r="AV191" s="536"/>
      <c r="AW191" s="536"/>
      <c r="AX191" s="536"/>
    </row>
    <row r="192" spans="7:50" x14ac:dyDescent="0.25">
      <c r="G192" s="536"/>
      <c r="H192" s="536"/>
      <c r="I192" s="536"/>
      <c r="J192" s="536"/>
      <c r="K192" s="536"/>
      <c r="L192" s="536"/>
      <c r="M192" s="536"/>
      <c r="N192" s="536"/>
      <c r="O192" s="536"/>
      <c r="P192" s="536"/>
      <c r="Q192" s="536"/>
      <c r="R192" s="536"/>
      <c r="S192" s="536"/>
      <c r="T192" s="536"/>
      <c r="U192" s="536"/>
      <c r="V192" s="536"/>
      <c r="W192" s="536"/>
      <c r="X192" s="536"/>
      <c r="Y192" s="536"/>
      <c r="Z192" s="536"/>
      <c r="AA192" s="536"/>
      <c r="AB192" s="536"/>
      <c r="AC192" s="536"/>
      <c r="AD192" s="536"/>
      <c r="AE192" s="536"/>
      <c r="AF192" s="536"/>
      <c r="AG192" s="536"/>
      <c r="AH192" s="536"/>
      <c r="AI192" s="536"/>
      <c r="AJ192" s="536"/>
      <c r="AK192" s="536"/>
      <c r="AL192" s="536"/>
      <c r="AM192" s="536"/>
      <c r="AN192" s="536"/>
      <c r="AO192" s="536"/>
      <c r="AP192" s="536"/>
      <c r="AQ192" s="536"/>
      <c r="AR192" s="536"/>
      <c r="AS192" s="536"/>
      <c r="AT192" s="536"/>
      <c r="AU192" s="536"/>
      <c r="AV192" s="536"/>
      <c r="AW192" s="536"/>
      <c r="AX192" s="536"/>
    </row>
    <row r="193" spans="7:50" x14ac:dyDescent="0.25">
      <c r="G193" s="536"/>
      <c r="H193" s="536"/>
      <c r="I193" s="536"/>
      <c r="J193" s="536"/>
      <c r="K193" s="536"/>
      <c r="L193" s="536"/>
      <c r="M193" s="536"/>
      <c r="N193" s="536"/>
      <c r="O193" s="536"/>
      <c r="P193" s="536"/>
      <c r="Q193" s="536"/>
      <c r="R193" s="536"/>
      <c r="S193" s="536"/>
      <c r="T193" s="536"/>
      <c r="U193" s="536"/>
      <c r="V193" s="536"/>
      <c r="W193" s="536"/>
      <c r="X193" s="536"/>
      <c r="Y193" s="536"/>
      <c r="Z193" s="536"/>
      <c r="AA193" s="536"/>
      <c r="AB193" s="536"/>
      <c r="AC193" s="536"/>
      <c r="AD193" s="536"/>
      <c r="AE193" s="536"/>
      <c r="AF193" s="536"/>
      <c r="AG193" s="536"/>
      <c r="AH193" s="536"/>
      <c r="AI193" s="536"/>
      <c r="AJ193" s="536"/>
      <c r="AK193" s="536"/>
      <c r="AL193" s="536"/>
      <c r="AM193" s="536"/>
      <c r="AN193" s="536"/>
      <c r="AO193" s="536"/>
      <c r="AP193" s="536"/>
      <c r="AQ193" s="536"/>
      <c r="AR193" s="536"/>
      <c r="AS193" s="536"/>
      <c r="AT193" s="536"/>
      <c r="AU193" s="536"/>
      <c r="AV193" s="536"/>
      <c r="AW193" s="536"/>
      <c r="AX193" s="536"/>
    </row>
    <row r="194" spans="7:50" x14ac:dyDescent="0.25">
      <c r="G194" s="536"/>
      <c r="H194" s="536"/>
      <c r="I194" s="536"/>
      <c r="J194" s="536"/>
      <c r="K194" s="536"/>
      <c r="L194" s="536"/>
      <c r="M194" s="536"/>
      <c r="N194" s="536"/>
      <c r="O194" s="536"/>
      <c r="P194" s="536"/>
      <c r="Q194" s="536"/>
      <c r="R194" s="536"/>
      <c r="S194" s="536"/>
      <c r="T194" s="536"/>
      <c r="U194" s="536"/>
      <c r="V194" s="536"/>
      <c r="W194" s="536"/>
      <c r="X194" s="536"/>
      <c r="Y194" s="536"/>
      <c r="Z194" s="536"/>
      <c r="AA194" s="536"/>
      <c r="AB194" s="536"/>
      <c r="AC194" s="536"/>
      <c r="AD194" s="536"/>
      <c r="AE194" s="536"/>
      <c r="AF194" s="536"/>
      <c r="AG194" s="536"/>
      <c r="AH194" s="536"/>
      <c r="AI194" s="536"/>
      <c r="AJ194" s="536"/>
      <c r="AK194" s="536"/>
      <c r="AL194" s="536"/>
      <c r="AM194" s="536"/>
      <c r="AN194" s="536"/>
      <c r="AO194" s="536"/>
      <c r="AP194" s="536"/>
      <c r="AQ194" s="536"/>
      <c r="AR194" s="536"/>
      <c r="AS194" s="536"/>
      <c r="AT194" s="536"/>
      <c r="AU194" s="536"/>
      <c r="AV194" s="536"/>
      <c r="AW194" s="536"/>
      <c r="AX194" s="536"/>
    </row>
    <row r="195" spans="7:50" x14ac:dyDescent="0.25">
      <c r="G195" s="536"/>
      <c r="H195" s="536"/>
      <c r="I195" s="536"/>
      <c r="J195" s="536"/>
      <c r="K195" s="536"/>
      <c r="L195" s="536"/>
      <c r="M195" s="536"/>
      <c r="N195" s="536"/>
      <c r="O195" s="536"/>
      <c r="P195" s="536"/>
      <c r="Q195" s="536"/>
      <c r="R195" s="536"/>
      <c r="S195" s="536"/>
      <c r="T195" s="536"/>
      <c r="U195" s="536"/>
      <c r="V195" s="536"/>
      <c r="W195" s="536"/>
      <c r="X195" s="536"/>
      <c r="Y195" s="536"/>
      <c r="Z195" s="536"/>
      <c r="AA195" s="536"/>
      <c r="AB195" s="536"/>
      <c r="AC195" s="536"/>
      <c r="AD195" s="536"/>
      <c r="AE195" s="536"/>
      <c r="AF195" s="536"/>
      <c r="AG195" s="536"/>
      <c r="AH195" s="536"/>
      <c r="AI195" s="536"/>
      <c r="AJ195" s="536"/>
      <c r="AK195" s="536"/>
      <c r="AL195" s="536"/>
      <c r="AM195" s="536"/>
      <c r="AN195" s="536"/>
      <c r="AO195" s="536"/>
      <c r="AP195" s="536"/>
      <c r="AQ195" s="536"/>
      <c r="AR195" s="536"/>
      <c r="AS195" s="536"/>
      <c r="AT195" s="536"/>
      <c r="AU195" s="536"/>
      <c r="AV195" s="536"/>
      <c r="AW195" s="536"/>
      <c r="AX195" s="536"/>
    </row>
    <row r="196" spans="7:50" x14ac:dyDescent="0.25">
      <c r="G196" s="536"/>
      <c r="H196" s="536"/>
      <c r="I196" s="536"/>
      <c r="J196" s="536"/>
      <c r="K196" s="536"/>
      <c r="L196" s="536"/>
      <c r="M196" s="536"/>
      <c r="N196" s="536"/>
      <c r="O196" s="536"/>
      <c r="P196" s="536"/>
      <c r="Q196" s="536"/>
      <c r="R196" s="536"/>
      <c r="S196" s="536"/>
      <c r="T196" s="536"/>
      <c r="U196" s="536"/>
      <c r="V196" s="536"/>
      <c r="W196" s="536"/>
      <c r="X196" s="536"/>
      <c r="Y196" s="536"/>
      <c r="Z196" s="536"/>
      <c r="AA196" s="536"/>
      <c r="AB196" s="536"/>
      <c r="AC196" s="536"/>
      <c r="AD196" s="536"/>
      <c r="AE196" s="536"/>
      <c r="AF196" s="536"/>
      <c r="AG196" s="536"/>
      <c r="AH196" s="536"/>
      <c r="AI196" s="536"/>
      <c r="AJ196" s="536"/>
      <c r="AK196" s="536"/>
      <c r="AL196" s="536"/>
      <c r="AM196" s="536"/>
      <c r="AN196" s="536"/>
      <c r="AO196" s="536"/>
      <c r="AP196" s="536"/>
      <c r="AQ196" s="536"/>
      <c r="AR196" s="536"/>
      <c r="AS196" s="536"/>
      <c r="AT196" s="536"/>
      <c r="AU196" s="536"/>
      <c r="AV196" s="536"/>
      <c r="AW196" s="536"/>
      <c r="AX196" s="536"/>
    </row>
    <row r="197" spans="7:50" x14ac:dyDescent="0.25">
      <c r="G197" s="536"/>
      <c r="H197" s="536"/>
      <c r="I197" s="536"/>
      <c r="J197" s="536"/>
      <c r="K197" s="536"/>
      <c r="L197" s="536"/>
      <c r="M197" s="536"/>
      <c r="N197" s="536"/>
      <c r="O197" s="536"/>
      <c r="P197" s="536"/>
      <c r="Q197" s="536"/>
      <c r="R197" s="536"/>
      <c r="S197" s="536"/>
      <c r="T197" s="536"/>
      <c r="U197" s="536"/>
      <c r="V197" s="536"/>
      <c r="W197" s="536"/>
      <c r="X197" s="536"/>
      <c r="Y197" s="536"/>
      <c r="Z197" s="536"/>
      <c r="AA197" s="536"/>
      <c r="AB197" s="536"/>
      <c r="AC197" s="536"/>
      <c r="AD197" s="536"/>
      <c r="AE197" s="536"/>
      <c r="AF197" s="536"/>
      <c r="AG197" s="536"/>
      <c r="AH197" s="536"/>
      <c r="AI197" s="536"/>
      <c r="AJ197" s="536"/>
      <c r="AK197" s="536"/>
      <c r="AL197" s="536"/>
      <c r="AM197" s="536"/>
      <c r="AN197" s="536"/>
      <c r="AO197" s="536"/>
      <c r="AP197" s="536"/>
      <c r="AQ197" s="536"/>
      <c r="AR197" s="536"/>
      <c r="AS197" s="536"/>
      <c r="AT197" s="536"/>
      <c r="AU197" s="536"/>
      <c r="AV197" s="536"/>
      <c r="AW197" s="536"/>
      <c r="AX197" s="536"/>
    </row>
    <row r="198" spans="7:50" x14ac:dyDescent="0.25">
      <c r="G198" s="536"/>
      <c r="H198" s="536"/>
      <c r="I198" s="536"/>
      <c r="J198" s="536"/>
      <c r="K198" s="536"/>
      <c r="L198" s="536"/>
      <c r="M198" s="536"/>
      <c r="N198" s="536"/>
      <c r="O198" s="536"/>
      <c r="P198" s="536"/>
      <c r="Q198" s="536"/>
      <c r="R198" s="536"/>
      <c r="S198" s="536"/>
      <c r="T198" s="536"/>
      <c r="U198" s="536"/>
      <c r="V198" s="536"/>
      <c r="W198" s="536"/>
      <c r="X198" s="536"/>
      <c r="Y198" s="536"/>
      <c r="Z198" s="536"/>
      <c r="AA198" s="536"/>
      <c r="AB198" s="536"/>
      <c r="AC198" s="536"/>
      <c r="AD198" s="536"/>
      <c r="AE198" s="536"/>
      <c r="AF198" s="536"/>
      <c r="AG198" s="536"/>
      <c r="AH198" s="536"/>
      <c r="AI198" s="536"/>
      <c r="AJ198" s="536"/>
      <c r="AK198" s="536"/>
      <c r="AL198" s="536"/>
      <c r="AM198" s="536"/>
      <c r="AN198" s="536"/>
      <c r="AO198" s="536"/>
      <c r="AP198" s="536"/>
      <c r="AQ198" s="536"/>
      <c r="AR198" s="536"/>
      <c r="AS198" s="536"/>
      <c r="AT198" s="536"/>
      <c r="AU198" s="536"/>
      <c r="AV198" s="536"/>
      <c r="AW198" s="536"/>
      <c r="AX198" s="536"/>
    </row>
    <row r="199" spans="7:50" x14ac:dyDescent="0.25">
      <c r="G199" s="536"/>
      <c r="H199" s="536"/>
      <c r="I199" s="536"/>
      <c r="J199" s="536"/>
      <c r="K199" s="536"/>
      <c r="L199" s="536"/>
      <c r="M199" s="536"/>
      <c r="N199" s="536"/>
      <c r="O199" s="536"/>
      <c r="P199" s="536"/>
      <c r="Q199" s="536"/>
      <c r="R199" s="536"/>
      <c r="S199" s="536"/>
      <c r="T199" s="536"/>
      <c r="U199" s="536"/>
      <c r="V199" s="536"/>
      <c r="W199" s="536"/>
      <c r="X199" s="536"/>
      <c r="Y199" s="536"/>
      <c r="Z199" s="536"/>
      <c r="AA199" s="536"/>
      <c r="AB199" s="536"/>
      <c r="AC199" s="536"/>
      <c r="AD199" s="536"/>
      <c r="AE199" s="536"/>
      <c r="AF199" s="536"/>
      <c r="AG199" s="536"/>
      <c r="AH199" s="536"/>
      <c r="AI199" s="536"/>
      <c r="AJ199" s="536"/>
      <c r="AK199" s="536"/>
      <c r="AL199" s="536"/>
      <c r="AM199" s="536"/>
      <c r="AN199" s="536"/>
      <c r="AO199" s="536"/>
      <c r="AP199" s="536"/>
      <c r="AQ199" s="536"/>
      <c r="AR199" s="536"/>
      <c r="AS199" s="536"/>
      <c r="AT199" s="536"/>
      <c r="AU199" s="536"/>
      <c r="AV199" s="536"/>
      <c r="AW199" s="536"/>
      <c r="AX199" s="536"/>
    </row>
    <row r="200" spans="7:50" x14ac:dyDescent="0.25">
      <c r="G200" s="536"/>
      <c r="H200" s="536"/>
      <c r="I200" s="536"/>
      <c r="J200" s="536"/>
      <c r="K200" s="536"/>
      <c r="L200" s="536"/>
      <c r="M200" s="536"/>
      <c r="N200" s="536"/>
      <c r="O200" s="536"/>
      <c r="P200" s="536"/>
      <c r="Q200" s="536"/>
      <c r="R200" s="536"/>
      <c r="S200" s="536"/>
      <c r="T200" s="536"/>
      <c r="U200" s="536"/>
      <c r="V200" s="536"/>
      <c r="W200" s="536"/>
      <c r="X200" s="536"/>
      <c r="Y200" s="536"/>
      <c r="Z200" s="536"/>
      <c r="AA200" s="536"/>
      <c r="AB200" s="536"/>
      <c r="AC200" s="536"/>
      <c r="AD200" s="536"/>
      <c r="AE200" s="536"/>
      <c r="AF200" s="536"/>
      <c r="AG200" s="536"/>
      <c r="AH200" s="536"/>
      <c r="AI200" s="536"/>
      <c r="AJ200" s="536"/>
      <c r="AK200" s="536"/>
      <c r="AL200" s="536"/>
      <c r="AM200" s="536"/>
      <c r="AN200" s="536"/>
      <c r="AO200" s="536"/>
      <c r="AP200" s="536"/>
      <c r="AQ200" s="536"/>
      <c r="AR200" s="536"/>
      <c r="AS200" s="536"/>
      <c r="AT200" s="536"/>
      <c r="AU200" s="536"/>
      <c r="AV200" s="536"/>
      <c r="AW200" s="536"/>
      <c r="AX200" s="536"/>
    </row>
    <row r="201" spans="7:50" x14ac:dyDescent="0.25">
      <c r="G201" s="536"/>
      <c r="H201" s="536"/>
      <c r="I201" s="536"/>
      <c r="J201" s="536"/>
      <c r="K201" s="536"/>
      <c r="L201" s="536"/>
      <c r="M201" s="536"/>
      <c r="N201" s="536"/>
      <c r="O201" s="536"/>
      <c r="P201" s="536"/>
      <c r="Q201" s="536"/>
      <c r="R201" s="536"/>
      <c r="S201" s="536"/>
      <c r="T201" s="536"/>
      <c r="U201" s="536"/>
      <c r="V201" s="536"/>
      <c r="W201" s="536"/>
      <c r="X201" s="536"/>
      <c r="Y201" s="536"/>
      <c r="Z201" s="536"/>
      <c r="AA201" s="536"/>
      <c r="AB201" s="536"/>
      <c r="AC201" s="536"/>
      <c r="AD201" s="536"/>
      <c r="AE201" s="536"/>
      <c r="AF201" s="536"/>
      <c r="AG201" s="536"/>
      <c r="AH201" s="536"/>
      <c r="AI201" s="536"/>
      <c r="AJ201" s="536"/>
      <c r="AK201" s="536"/>
      <c r="AL201" s="536"/>
      <c r="AM201" s="536"/>
      <c r="AN201" s="536"/>
      <c r="AO201" s="536"/>
      <c r="AP201" s="536"/>
      <c r="AQ201" s="536"/>
      <c r="AR201" s="536"/>
      <c r="AS201" s="536"/>
      <c r="AT201" s="536"/>
      <c r="AU201" s="536"/>
      <c r="AV201" s="536"/>
      <c r="AW201" s="536"/>
      <c r="AX201" s="536"/>
    </row>
    <row r="202" spans="7:50" x14ac:dyDescent="0.25">
      <c r="G202" s="536"/>
      <c r="H202" s="536"/>
      <c r="I202" s="536"/>
      <c r="J202" s="536"/>
      <c r="K202" s="536"/>
      <c r="L202" s="536"/>
      <c r="M202" s="536"/>
      <c r="N202" s="536"/>
      <c r="O202" s="536"/>
      <c r="P202" s="536"/>
      <c r="Q202" s="536"/>
      <c r="R202" s="536"/>
      <c r="S202" s="536"/>
      <c r="T202" s="536"/>
      <c r="U202" s="536"/>
      <c r="V202" s="536"/>
      <c r="W202" s="536"/>
      <c r="X202" s="536"/>
      <c r="Y202" s="536"/>
      <c r="Z202" s="536"/>
      <c r="AA202" s="536"/>
      <c r="AB202" s="536"/>
      <c r="AC202" s="536"/>
      <c r="AD202" s="536"/>
      <c r="AE202" s="536"/>
      <c r="AF202" s="536"/>
      <c r="AG202" s="536"/>
      <c r="AH202" s="536"/>
      <c r="AI202" s="536"/>
      <c r="AJ202" s="536"/>
      <c r="AK202" s="536"/>
      <c r="AL202" s="536"/>
      <c r="AM202" s="536"/>
      <c r="AN202" s="536"/>
      <c r="AO202" s="536"/>
      <c r="AP202" s="536"/>
      <c r="AQ202" s="536"/>
      <c r="AR202" s="536"/>
      <c r="AS202" s="536"/>
      <c r="AT202" s="536"/>
      <c r="AU202" s="536"/>
      <c r="AV202" s="536"/>
      <c r="AW202" s="536"/>
      <c r="AX202" s="536"/>
    </row>
    <row r="203" spans="7:50" x14ac:dyDescent="0.25">
      <c r="G203" s="536"/>
      <c r="H203" s="536"/>
      <c r="I203" s="536"/>
      <c r="J203" s="536"/>
      <c r="K203" s="536"/>
      <c r="L203" s="536"/>
      <c r="M203" s="536"/>
      <c r="N203" s="536"/>
      <c r="O203" s="536"/>
      <c r="P203" s="536"/>
      <c r="Q203" s="536"/>
      <c r="R203" s="536"/>
      <c r="S203" s="536"/>
      <c r="T203" s="536"/>
      <c r="U203" s="536"/>
      <c r="V203" s="536"/>
      <c r="W203" s="536"/>
      <c r="X203" s="536"/>
      <c r="Y203" s="536"/>
      <c r="Z203" s="536"/>
      <c r="AA203" s="536"/>
      <c r="AB203" s="536"/>
      <c r="AC203" s="536"/>
      <c r="AD203" s="536"/>
      <c r="AE203" s="536"/>
      <c r="AF203" s="536"/>
      <c r="AG203" s="536"/>
      <c r="AH203" s="536"/>
      <c r="AI203" s="536"/>
      <c r="AJ203" s="536"/>
      <c r="AK203" s="536"/>
      <c r="AL203" s="536"/>
      <c r="AM203" s="536"/>
      <c r="AN203" s="536"/>
      <c r="AO203" s="536"/>
      <c r="AP203" s="536"/>
      <c r="AQ203" s="536"/>
      <c r="AR203" s="536"/>
      <c r="AS203" s="536"/>
      <c r="AT203" s="536"/>
      <c r="AU203" s="536"/>
      <c r="AV203" s="536"/>
      <c r="AW203" s="536"/>
      <c r="AX203" s="536"/>
    </row>
    <row r="204" spans="7:50" x14ac:dyDescent="0.25">
      <c r="G204" s="536"/>
      <c r="H204" s="536"/>
      <c r="I204" s="536"/>
      <c r="J204" s="536"/>
      <c r="K204" s="536"/>
      <c r="L204" s="536"/>
      <c r="M204" s="536"/>
      <c r="N204" s="536"/>
      <c r="O204" s="536"/>
      <c r="P204" s="536"/>
      <c r="Q204" s="536"/>
      <c r="R204" s="536"/>
      <c r="S204" s="536"/>
      <c r="T204" s="536"/>
      <c r="U204" s="536"/>
      <c r="V204" s="536"/>
      <c r="W204" s="536"/>
      <c r="X204" s="536"/>
      <c r="Y204" s="536"/>
      <c r="Z204" s="536"/>
      <c r="AA204" s="536"/>
      <c r="AB204" s="536"/>
      <c r="AC204" s="536"/>
      <c r="AD204" s="536"/>
      <c r="AE204" s="536"/>
      <c r="AF204" s="536"/>
      <c r="AG204" s="536"/>
      <c r="AH204" s="536"/>
      <c r="AI204" s="536"/>
      <c r="AJ204" s="536"/>
      <c r="AK204" s="536"/>
      <c r="AL204" s="536"/>
      <c r="AM204" s="536"/>
      <c r="AN204" s="536"/>
      <c r="AO204" s="536"/>
      <c r="AP204" s="536"/>
      <c r="AQ204" s="536"/>
      <c r="AR204" s="536"/>
      <c r="AS204" s="536"/>
      <c r="AT204" s="536"/>
      <c r="AU204" s="536"/>
      <c r="AV204" s="536"/>
      <c r="AW204" s="536"/>
      <c r="AX204" s="536"/>
    </row>
    <row r="205" spans="7:50" x14ac:dyDescent="0.25">
      <c r="G205" s="536"/>
      <c r="H205" s="536"/>
      <c r="I205" s="536"/>
      <c r="J205" s="536"/>
      <c r="K205" s="536"/>
      <c r="L205" s="536"/>
      <c r="M205" s="536"/>
      <c r="N205" s="536"/>
      <c r="O205" s="536"/>
      <c r="P205" s="536"/>
      <c r="Q205" s="536"/>
      <c r="R205" s="536"/>
      <c r="S205" s="536"/>
      <c r="T205" s="536"/>
      <c r="U205" s="536"/>
      <c r="V205" s="536"/>
      <c r="W205" s="536"/>
      <c r="X205" s="536"/>
      <c r="Y205" s="536"/>
      <c r="Z205" s="536"/>
      <c r="AA205" s="536"/>
      <c r="AB205" s="536"/>
      <c r="AC205" s="536"/>
      <c r="AD205" s="536"/>
      <c r="AE205" s="536"/>
      <c r="AF205" s="536"/>
      <c r="AG205" s="536"/>
      <c r="AH205" s="536"/>
      <c r="AI205" s="536"/>
      <c r="AJ205" s="536"/>
      <c r="AK205" s="536"/>
      <c r="AL205" s="536"/>
      <c r="AM205" s="536"/>
      <c r="AN205" s="536"/>
      <c r="AO205" s="536"/>
      <c r="AP205" s="536"/>
      <c r="AQ205" s="536"/>
      <c r="AR205" s="536"/>
      <c r="AS205" s="536"/>
      <c r="AT205" s="536"/>
      <c r="AU205" s="536"/>
      <c r="AV205" s="536"/>
      <c r="AW205" s="536"/>
      <c r="AX205" s="536"/>
    </row>
    <row r="206" spans="7:50" x14ac:dyDescent="0.25">
      <c r="G206" s="536"/>
      <c r="H206" s="536"/>
      <c r="I206" s="536"/>
      <c r="J206" s="536"/>
      <c r="K206" s="536"/>
      <c r="L206" s="536"/>
      <c r="M206" s="536"/>
      <c r="N206" s="536"/>
      <c r="O206" s="536"/>
      <c r="P206" s="536"/>
      <c r="Q206" s="536"/>
      <c r="R206" s="536"/>
      <c r="S206" s="536"/>
      <c r="T206" s="536"/>
      <c r="U206" s="536"/>
      <c r="V206" s="536"/>
      <c r="W206" s="536"/>
      <c r="X206" s="536"/>
      <c r="Y206" s="536"/>
      <c r="Z206" s="536"/>
      <c r="AA206" s="536"/>
      <c r="AB206" s="536"/>
      <c r="AC206" s="536"/>
      <c r="AD206" s="536"/>
      <c r="AE206" s="536"/>
      <c r="AF206" s="536"/>
      <c r="AG206" s="536"/>
      <c r="AH206" s="536"/>
      <c r="AI206" s="536"/>
      <c r="AJ206" s="536"/>
      <c r="AK206" s="536"/>
      <c r="AL206" s="536"/>
      <c r="AM206" s="536"/>
      <c r="AN206" s="536"/>
      <c r="AO206" s="536"/>
      <c r="AP206" s="536"/>
      <c r="AQ206" s="536"/>
      <c r="AR206" s="536"/>
      <c r="AS206" s="536"/>
      <c r="AT206" s="536"/>
      <c r="AU206" s="536"/>
      <c r="AV206" s="536"/>
      <c r="AW206" s="536"/>
      <c r="AX206" s="536"/>
    </row>
    <row r="207" spans="7:50" x14ac:dyDescent="0.25">
      <c r="G207" s="536"/>
      <c r="H207" s="536"/>
      <c r="I207" s="536"/>
      <c r="J207" s="536"/>
      <c r="K207" s="536"/>
      <c r="L207" s="536"/>
      <c r="M207" s="536"/>
      <c r="N207" s="536"/>
      <c r="O207" s="536"/>
      <c r="P207" s="536"/>
      <c r="Q207" s="536"/>
      <c r="R207" s="536"/>
      <c r="S207" s="536"/>
      <c r="T207" s="536"/>
      <c r="U207" s="536"/>
      <c r="V207" s="536"/>
      <c r="W207" s="536"/>
      <c r="X207" s="536"/>
      <c r="Y207" s="536"/>
      <c r="Z207" s="536"/>
      <c r="AA207" s="536"/>
      <c r="AB207" s="536"/>
      <c r="AC207" s="536"/>
      <c r="AD207" s="536"/>
      <c r="AE207" s="536"/>
      <c r="AF207" s="536"/>
      <c r="AG207" s="536"/>
      <c r="AH207" s="536"/>
      <c r="AI207" s="536"/>
      <c r="AJ207" s="536"/>
      <c r="AK207" s="536"/>
      <c r="AL207" s="536"/>
      <c r="AM207" s="536"/>
      <c r="AN207" s="536"/>
      <c r="AO207" s="536"/>
      <c r="AP207" s="536"/>
      <c r="AQ207" s="536"/>
      <c r="AR207" s="536"/>
      <c r="AS207" s="536"/>
      <c r="AT207" s="536"/>
      <c r="AU207" s="536"/>
      <c r="AV207" s="536"/>
      <c r="AW207" s="536"/>
      <c r="AX207" s="536"/>
    </row>
    <row r="208" spans="7:50" x14ac:dyDescent="0.25">
      <c r="G208" s="536"/>
      <c r="H208" s="536"/>
      <c r="I208" s="536"/>
      <c r="J208" s="536"/>
      <c r="K208" s="536"/>
      <c r="L208" s="536"/>
      <c r="M208" s="536"/>
      <c r="N208" s="536"/>
      <c r="O208" s="536"/>
      <c r="P208" s="536"/>
      <c r="Q208" s="536"/>
      <c r="R208" s="536"/>
      <c r="S208" s="536"/>
      <c r="T208" s="536"/>
      <c r="U208" s="536"/>
      <c r="V208" s="536"/>
      <c r="W208" s="536"/>
      <c r="X208" s="536"/>
      <c r="Y208" s="536"/>
      <c r="Z208" s="536"/>
      <c r="AA208" s="536"/>
      <c r="AB208" s="536"/>
      <c r="AC208" s="536"/>
      <c r="AD208" s="536"/>
      <c r="AE208" s="536"/>
      <c r="AF208" s="536"/>
      <c r="AG208" s="536"/>
      <c r="AH208" s="536"/>
      <c r="AI208" s="536"/>
      <c r="AJ208" s="536"/>
      <c r="AK208" s="536"/>
      <c r="AL208" s="536"/>
      <c r="AM208" s="536"/>
      <c r="AN208" s="536"/>
      <c r="AO208" s="536"/>
      <c r="AP208" s="536"/>
      <c r="AQ208" s="536"/>
      <c r="AR208" s="536"/>
      <c r="AS208" s="536"/>
      <c r="AT208" s="536"/>
      <c r="AU208" s="536"/>
      <c r="AV208" s="536"/>
      <c r="AW208" s="536"/>
      <c r="AX208" s="536"/>
    </row>
    <row r="209" spans="7:50" x14ac:dyDescent="0.25">
      <c r="G209" s="536"/>
      <c r="H209" s="536"/>
      <c r="I209" s="536"/>
      <c r="J209" s="536"/>
      <c r="K209" s="536"/>
      <c r="L209" s="536"/>
      <c r="M209" s="536"/>
      <c r="N209" s="536"/>
      <c r="O209" s="536"/>
      <c r="P209" s="536"/>
      <c r="Q209" s="536"/>
      <c r="R209" s="536"/>
      <c r="S209" s="536"/>
      <c r="T209" s="536"/>
      <c r="U209" s="536"/>
      <c r="V209" s="536"/>
      <c r="W209" s="536"/>
      <c r="X209" s="536"/>
      <c r="Y209" s="536"/>
      <c r="Z209" s="536"/>
      <c r="AA209" s="536"/>
      <c r="AB209" s="536"/>
      <c r="AC209" s="536"/>
      <c r="AD209" s="536"/>
      <c r="AE209" s="536"/>
      <c r="AF209" s="536"/>
      <c r="AG209" s="536"/>
      <c r="AH209" s="536"/>
      <c r="AI209" s="536"/>
      <c r="AJ209" s="536"/>
      <c r="AK209" s="536"/>
      <c r="AL209" s="536"/>
      <c r="AM209" s="536"/>
      <c r="AN209" s="536"/>
      <c r="AO209" s="536"/>
      <c r="AP209" s="536"/>
      <c r="AQ209" s="536"/>
      <c r="AR209" s="536"/>
      <c r="AS209" s="536"/>
      <c r="AT209" s="536"/>
      <c r="AU209" s="536"/>
      <c r="AV209" s="536"/>
      <c r="AW209" s="536"/>
      <c r="AX209" s="536"/>
    </row>
    <row r="210" spans="7:50" x14ac:dyDescent="0.25">
      <c r="G210" s="536"/>
      <c r="H210" s="536"/>
      <c r="I210" s="536"/>
      <c r="J210" s="536"/>
      <c r="K210" s="536"/>
      <c r="L210" s="536"/>
      <c r="M210" s="536"/>
      <c r="N210" s="536"/>
      <c r="O210" s="536"/>
      <c r="P210" s="536"/>
      <c r="Q210" s="536"/>
      <c r="R210" s="536"/>
      <c r="S210" s="536"/>
      <c r="T210" s="536"/>
      <c r="U210" s="536"/>
      <c r="V210" s="536"/>
      <c r="W210" s="536"/>
      <c r="X210" s="536"/>
      <c r="Y210" s="536"/>
      <c r="Z210" s="536"/>
      <c r="AA210" s="536"/>
      <c r="AB210" s="536"/>
      <c r="AC210" s="536"/>
      <c r="AD210" s="536"/>
      <c r="AE210" s="536"/>
      <c r="AF210" s="536"/>
      <c r="AG210" s="536"/>
      <c r="AH210" s="536"/>
      <c r="AI210" s="536"/>
      <c r="AJ210" s="536"/>
      <c r="AK210" s="536"/>
      <c r="AL210" s="536"/>
      <c r="AM210" s="536"/>
      <c r="AN210" s="536"/>
      <c r="AO210" s="536"/>
      <c r="AP210" s="536"/>
      <c r="AQ210" s="536"/>
      <c r="AR210" s="536"/>
      <c r="AS210" s="536"/>
      <c r="AT210" s="536"/>
      <c r="AU210" s="536"/>
      <c r="AV210" s="536"/>
      <c r="AW210" s="536"/>
      <c r="AX210" s="536"/>
    </row>
    <row r="211" spans="7:50" x14ac:dyDescent="0.25">
      <c r="G211" s="536"/>
      <c r="H211" s="536"/>
      <c r="I211" s="536"/>
      <c r="J211" s="536"/>
      <c r="K211" s="536"/>
      <c r="L211" s="536"/>
      <c r="M211" s="536"/>
      <c r="N211" s="536"/>
      <c r="O211" s="536"/>
      <c r="P211" s="536"/>
      <c r="Q211" s="536"/>
      <c r="R211" s="536"/>
      <c r="S211" s="536"/>
      <c r="T211" s="536"/>
      <c r="U211" s="536"/>
      <c r="V211" s="536"/>
      <c r="W211" s="536"/>
      <c r="X211" s="536"/>
      <c r="Y211" s="536"/>
      <c r="Z211" s="536"/>
      <c r="AA211" s="536"/>
      <c r="AB211" s="536"/>
      <c r="AC211" s="536"/>
      <c r="AD211" s="536"/>
      <c r="AE211" s="536"/>
      <c r="AF211" s="536"/>
      <c r="AG211" s="536"/>
      <c r="AH211" s="536"/>
      <c r="AI211" s="536"/>
      <c r="AJ211" s="536"/>
      <c r="AK211" s="536"/>
      <c r="AL211" s="536"/>
      <c r="AM211" s="536"/>
      <c r="AN211" s="536"/>
      <c r="AO211" s="536"/>
      <c r="AP211" s="536"/>
      <c r="AQ211" s="536"/>
      <c r="AR211" s="536"/>
      <c r="AS211" s="536"/>
      <c r="AT211" s="536"/>
      <c r="AU211" s="536"/>
      <c r="AV211" s="536"/>
      <c r="AW211" s="536"/>
      <c r="AX211" s="536"/>
    </row>
    <row r="212" spans="7:50" x14ac:dyDescent="0.25">
      <c r="G212" s="536"/>
      <c r="H212" s="536"/>
      <c r="I212" s="536"/>
      <c r="J212" s="536"/>
      <c r="K212" s="536"/>
      <c r="L212" s="536"/>
      <c r="M212" s="536"/>
      <c r="N212" s="536"/>
      <c r="O212" s="536"/>
      <c r="P212" s="536"/>
      <c r="Q212" s="536"/>
      <c r="R212" s="536"/>
      <c r="S212" s="536"/>
      <c r="T212" s="536"/>
      <c r="U212" s="536"/>
      <c r="V212" s="536"/>
      <c r="W212" s="536"/>
      <c r="X212" s="536"/>
      <c r="Y212" s="536"/>
      <c r="Z212" s="536"/>
      <c r="AA212" s="536"/>
      <c r="AB212" s="536"/>
      <c r="AC212" s="536"/>
      <c r="AD212" s="536"/>
      <c r="AE212" s="536"/>
      <c r="AF212" s="536"/>
      <c r="AG212" s="536"/>
      <c r="AH212" s="536"/>
      <c r="AI212" s="536"/>
      <c r="AJ212" s="536"/>
      <c r="AK212" s="536"/>
      <c r="AL212" s="536"/>
      <c r="AM212" s="536"/>
      <c r="AN212" s="536"/>
      <c r="AO212" s="536"/>
      <c r="AP212" s="536"/>
      <c r="AQ212" s="536"/>
      <c r="AR212" s="536"/>
      <c r="AS212" s="536"/>
      <c r="AT212" s="536"/>
      <c r="AU212" s="536"/>
      <c r="AV212" s="536"/>
      <c r="AW212" s="536"/>
      <c r="AX212" s="536"/>
    </row>
    <row r="213" spans="7:50" x14ac:dyDescent="0.25">
      <c r="G213" s="536"/>
      <c r="H213" s="536"/>
      <c r="I213" s="536"/>
      <c r="J213" s="536"/>
      <c r="K213" s="536"/>
      <c r="L213" s="536"/>
      <c r="M213" s="536"/>
      <c r="N213" s="536"/>
      <c r="O213" s="536"/>
      <c r="P213" s="536"/>
      <c r="Q213" s="536"/>
      <c r="R213" s="536"/>
      <c r="S213" s="536"/>
      <c r="T213" s="536"/>
      <c r="U213" s="536"/>
      <c r="V213" s="536"/>
      <c r="W213" s="536"/>
      <c r="X213" s="536"/>
      <c r="Y213" s="536"/>
      <c r="Z213" s="536"/>
      <c r="AA213" s="536"/>
      <c r="AB213" s="536"/>
      <c r="AC213" s="536"/>
      <c r="AD213" s="536"/>
      <c r="AE213" s="536"/>
      <c r="AF213" s="536"/>
      <c r="AG213" s="536"/>
      <c r="AH213" s="536"/>
      <c r="AI213" s="536"/>
      <c r="AJ213" s="536"/>
      <c r="AK213" s="536"/>
      <c r="AL213" s="536"/>
      <c r="AM213" s="536"/>
      <c r="AN213" s="536"/>
      <c r="AO213" s="536"/>
      <c r="AP213" s="536"/>
      <c r="AQ213" s="536"/>
      <c r="AR213" s="536"/>
      <c r="AS213" s="536"/>
      <c r="AT213" s="536"/>
      <c r="AU213" s="536"/>
      <c r="AV213" s="536"/>
      <c r="AW213" s="536"/>
      <c r="AX213" s="536"/>
    </row>
    <row r="214" spans="7:50" x14ac:dyDescent="0.25">
      <c r="G214" s="536"/>
      <c r="H214" s="536"/>
      <c r="I214" s="536"/>
      <c r="J214" s="536"/>
      <c r="K214" s="536"/>
      <c r="L214" s="536"/>
      <c r="M214" s="536"/>
      <c r="N214" s="536"/>
      <c r="O214" s="536"/>
      <c r="P214" s="536"/>
      <c r="Q214" s="536"/>
      <c r="R214" s="536"/>
      <c r="S214" s="536"/>
      <c r="T214" s="536"/>
      <c r="U214" s="536"/>
      <c r="V214" s="536"/>
      <c r="W214" s="536"/>
      <c r="X214" s="536"/>
      <c r="Y214" s="536"/>
      <c r="Z214" s="536"/>
      <c r="AA214" s="536"/>
      <c r="AB214" s="536"/>
      <c r="AC214" s="536"/>
      <c r="AD214" s="536"/>
      <c r="AE214" s="536"/>
      <c r="AF214" s="536"/>
      <c r="AG214" s="536"/>
      <c r="AH214" s="536"/>
      <c r="AI214" s="536"/>
      <c r="AJ214" s="536"/>
      <c r="AK214" s="536"/>
      <c r="AL214" s="536"/>
      <c r="AM214" s="536"/>
      <c r="AN214" s="536"/>
      <c r="AO214" s="536"/>
      <c r="AP214" s="536"/>
      <c r="AQ214" s="536"/>
      <c r="AR214" s="536"/>
      <c r="AS214" s="536"/>
      <c r="AT214" s="536"/>
      <c r="AU214" s="536"/>
      <c r="AV214" s="536"/>
      <c r="AW214" s="536"/>
      <c r="AX214" s="536"/>
    </row>
    <row r="215" spans="7:50" x14ac:dyDescent="0.25">
      <c r="G215" s="536"/>
      <c r="H215" s="536"/>
      <c r="I215" s="536"/>
      <c r="J215" s="536"/>
      <c r="K215" s="536"/>
      <c r="L215" s="536"/>
      <c r="M215" s="536"/>
      <c r="N215" s="536"/>
      <c r="O215" s="536"/>
      <c r="P215" s="536"/>
      <c r="Q215" s="536"/>
      <c r="R215" s="536"/>
      <c r="S215" s="536"/>
      <c r="T215" s="536"/>
      <c r="U215" s="536"/>
      <c r="V215" s="536"/>
      <c r="W215" s="536"/>
      <c r="X215" s="536"/>
      <c r="Y215" s="536"/>
      <c r="Z215" s="536"/>
      <c r="AA215" s="536"/>
      <c r="AB215" s="536"/>
      <c r="AC215" s="536"/>
      <c r="AD215" s="536"/>
      <c r="AE215" s="536"/>
      <c r="AF215" s="536"/>
      <c r="AG215" s="536"/>
      <c r="AH215" s="536"/>
      <c r="AI215" s="536"/>
      <c r="AJ215" s="536"/>
      <c r="AK215" s="536"/>
      <c r="AL215" s="536"/>
      <c r="AM215" s="536"/>
      <c r="AN215" s="536"/>
      <c r="AO215" s="536"/>
      <c r="AP215" s="536"/>
      <c r="AQ215" s="536"/>
      <c r="AR215" s="536"/>
      <c r="AS215" s="536"/>
      <c r="AT215" s="536"/>
      <c r="AU215" s="536"/>
      <c r="AV215" s="536"/>
      <c r="AW215" s="536"/>
      <c r="AX215" s="536"/>
    </row>
    <row r="216" spans="7:50" x14ac:dyDescent="0.25">
      <c r="G216" s="536"/>
      <c r="H216" s="536"/>
      <c r="I216" s="536"/>
      <c r="J216" s="536"/>
      <c r="K216" s="536"/>
      <c r="L216" s="536"/>
      <c r="M216" s="536"/>
      <c r="N216" s="536"/>
      <c r="O216" s="536"/>
      <c r="P216" s="536"/>
      <c r="Q216" s="536"/>
      <c r="R216" s="536"/>
      <c r="S216" s="536"/>
      <c r="T216" s="536"/>
      <c r="U216" s="536"/>
      <c r="V216" s="536"/>
      <c r="W216" s="536"/>
      <c r="X216" s="536"/>
      <c r="Y216" s="536"/>
      <c r="Z216" s="536"/>
      <c r="AA216" s="536"/>
      <c r="AB216" s="536"/>
      <c r="AC216" s="536"/>
      <c r="AD216" s="536"/>
      <c r="AE216" s="536"/>
      <c r="AF216" s="536"/>
      <c r="AG216" s="536"/>
      <c r="AH216" s="536"/>
      <c r="AI216" s="536"/>
      <c r="AJ216" s="536"/>
      <c r="AK216" s="536"/>
      <c r="AL216" s="536"/>
      <c r="AM216" s="536"/>
      <c r="AN216" s="536"/>
      <c r="AO216" s="536"/>
      <c r="AP216" s="536"/>
      <c r="AQ216" s="536"/>
      <c r="AR216" s="536"/>
      <c r="AS216" s="536"/>
      <c r="AT216" s="536"/>
      <c r="AU216" s="536"/>
      <c r="AV216" s="536"/>
      <c r="AW216" s="536"/>
      <c r="AX216" s="536"/>
    </row>
    <row r="217" spans="7:50" x14ac:dyDescent="0.25">
      <c r="G217" s="536"/>
      <c r="H217" s="536"/>
      <c r="I217" s="536"/>
      <c r="J217" s="536"/>
      <c r="K217" s="536"/>
      <c r="L217" s="536"/>
      <c r="M217" s="536"/>
      <c r="N217" s="536"/>
      <c r="O217" s="536"/>
      <c r="P217" s="536"/>
      <c r="Q217" s="536"/>
      <c r="R217" s="536"/>
      <c r="S217" s="536"/>
      <c r="T217" s="536"/>
      <c r="U217" s="536"/>
      <c r="V217" s="536"/>
      <c r="W217" s="536"/>
      <c r="X217" s="536"/>
      <c r="Y217" s="536"/>
      <c r="Z217" s="536"/>
      <c r="AA217" s="536"/>
      <c r="AB217" s="536"/>
      <c r="AC217" s="536"/>
      <c r="AD217" s="536"/>
      <c r="AE217" s="536"/>
      <c r="AF217" s="536"/>
      <c r="AG217" s="536"/>
      <c r="AH217" s="536"/>
      <c r="AI217" s="536"/>
      <c r="AJ217" s="536"/>
      <c r="AK217" s="536"/>
      <c r="AL217" s="536"/>
      <c r="AM217" s="536"/>
      <c r="AN217" s="536"/>
      <c r="AO217" s="536"/>
      <c r="AP217" s="536"/>
      <c r="AQ217" s="536"/>
      <c r="AR217" s="536"/>
      <c r="AS217" s="536"/>
      <c r="AT217" s="536"/>
      <c r="AU217" s="536"/>
      <c r="AV217" s="536"/>
      <c r="AW217" s="536"/>
      <c r="AX217" s="536"/>
    </row>
    <row r="218" spans="7:50" x14ac:dyDescent="0.25">
      <c r="G218" s="536"/>
      <c r="H218" s="536"/>
      <c r="I218" s="536"/>
      <c r="J218" s="536"/>
      <c r="K218" s="536"/>
      <c r="L218" s="536"/>
      <c r="M218" s="536"/>
      <c r="N218" s="536"/>
      <c r="O218" s="536"/>
      <c r="P218" s="536"/>
      <c r="Q218" s="536"/>
      <c r="R218" s="536"/>
      <c r="S218" s="536"/>
      <c r="T218" s="536"/>
      <c r="U218" s="536"/>
      <c r="V218" s="536"/>
      <c r="W218" s="536"/>
      <c r="X218" s="536"/>
      <c r="Y218" s="536"/>
      <c r="Z218" s="536"/>
      <c r="AA218" s="536"/>
      <c r="AB218" s="536"/>
      <c r="AC218" s="536"/>
      <c r="AD218" s="536"/>
      <c r="AE218" s="536"/>
      <c r="AF218" s="536"/>
      <c r="AG218" s="536"/>
      <c r="AH218" s="536"/>
      <c r="AI218" s="536"/>
      <c r="AJ218" s="536"/>
      <c r="AK218" s="536"/>
      <c r="AL218" s="536"/>
      <c r="AM218" s="536"/>
      <c r="AN218" s="536"/>
      <c r="AO218" s="536"/>
      <c r="AP218" s="536"/>
      <c r="AQ218" s="536"/>
      <c r="AR218" s="536"/>
      <c r="AS218" s="536"/>
      <c r="AT218" s="536"/>
      <c r="AU218" s="536"/>
      <c r="AV218" s="536"/>
      <c r="AW218" s="536"/>
      <c r="AX218" s="536"/>
    </row>
    <row r="219" spans="7:50" x14ac:dyDescent="0.25">
      <c r="G219" s="536"/>
      <c r="H219" s="536"/>
      <c r="I219" s="536"/>
      <c r="J219" s="536"/>
      <c r="K219" s="536"/>
      <c r="L219" s="536"/>
      <c r="M219" s="536"/>
      <c r="N219" s="536"/>
      <c r="O219" s="536"/>
      <c r="P219" s="536"/>
      <c r="Q219" s="536"/>
      <c r="R219" s="536"/>
      <c r="S219" s="536"/>
      <c r="T219" s="536"/>
      <c r="U219" s="536"/>
      <c r="V219" s="536"/>
      <c r="W219" s="536"/>
      <c r="X219" s="536"/>
      <c r="Y219" s="536"/>
      <c r="Z219" s="536"/>
      <c r="AA219" s="536"/>
      <c r="AB219" s="536"/>
      <c r="AC219" s="536"/>
      <c r="AD219" s="536"/>
      <c r="AE219" s="536"/>
      <c r="AF219" s="536"/>
      <c r="AG219" s="536"/>
      <c r="AH219" s="536"/>
      <c r="AI219" s="536"/>
      <c r="AJ219" s="536"/>
      <c r="AK219" s="536"/>
      <c r="AL219" s="536"/>
      <c r="AM219" s="536"/>
      <c r="AN219" s="536"/>
      <c r="AO219" s="536"/>
      <c r="AP219" s="536"/>
      <c r="AQ219" s="536"/>
      <c r="AR219" s="536"/>
      <c r="AS219" s="536"/>
      <c r="AT219" s="536"/>
      <c r="AU219" s="536"/>
      <c r="AV219" s="536"/>
      <c r="AW219" s="536"/>
      <c r="AX219" s="536"/>
    </row>
    <row r="220" spans="7:50" x14ac:dyDescent="0.25">
      <c r="G220" s="536"/>
      <c r="H220" s="536"/>
      <c r="I220" s="536"/>
      <c r="J220" s="536"/>
      <c r="K220" s="536"/>
      <c r="L220" s="536"/>
      <c r="M220" s="536"/>
      <c r="N220" s="536"/>
      <c r="O220" s="536"/>
      <c r="P220" s="536"/>
      <c r="Q220" s="536"/>
      <c r="R220" s="536"/>
      <c r="S220" s="536"/>
      <c r="T220" s="536"/>
      <c r="U220" s="536"/>
      <c r="V220" s="536"/>
      <c r="W220" s="536"/>
      <c r="X220" s="536"/>
      <c r="Y220" s="536"/>
      <c r="Z220" s="536"/>
      <c r="AA220" s="536"/>
      <c r="AB220" s="536"/>
      <c r="AC220" s="536"/>
      <c r="AD220" s="536"/>
      <c r="AE220" s="536"/>
      <c r="AF220" s="536"/>
      <c r="AG220" s="536"/>
      <c r="AH220" s="536"/>
      <c r="AI220" s="536"/>
      <c r="AJ220" s="536"/>
      <c r="AK220" s="536"/>
      <c r="AL220" s="536"/>
      <c r="AM220" s="536"/>
      <c r="AN220" s="536"/>
      <c r="AO220" s="536"/>
      <c r="AP220" s="536"/>
      <c r="AQ220" s="536"/>
      <c r="AR220" s="536"/>
      <c r="AS220" s="536"/>
      <c r="AT220" s="536"/>
      <c r="AU220" s="536"/>
      <c r="AV220" s="536"/>
      <c r="AW220" s="536"/>
      <c r="AX220" s="536"/>
    </row>
    <row r="221" spans="7:50" x14ac:dyDescent="0.25">
      <c r="G221" s="536"/>
      <c r="H221" s="536"/>
      <c r="I221" s="536"/>
      <c r="J221" s="536"/>
      <c r="K221" s="536"/>
      <c r="L221" s="536"/>
      <c r="M221" s="536"/>
      <c r="N221" s="536"/>
      <c r="O221" s="536"/>
      <c r="P221" s="536"/>
      <c r="Q221" s="536"/>
      <c r="R221" s="536"/>
      <c r="S221" s="536"/>
      <c r="T221" s="536"/>
      <c r="U221" s="536"/>
      <c r="V221" s="536"/>
      <c r="W221" s="536"/>
      <c r="X221" s="536"/>
      <c r="Y221" s="536"/>
      <c r="Z221" s="536"/>
      <c r="AA221" s="536"/>
      <c r="AB221" s="536"/>
      <c r="AC221" s="536"/>
      <c r="AD221" s="536"/>
      <c r="AE221" s="536"/>
      <c r="AF221" s="536"/>
      <c r="AG221" s="536"/>
      <c r="AH221" s="536"/>
      <c r="AI221" s="536"/>
      <c r="AJ221" s="536"/>
      <c r="AK221" s="536"/>
      <c r="AL221" s="536"/>
      <c r="AM221" s="536"/>
      <c r="AN221" s="536"/>
      <c r="AO221" s="536"/>
      <c r="AP221" s="536"/>
      <c r="AQ221" s="536"/>
      <c r="AR221" s="536"/>
      <c r="AS221" s="536"/>
      <c r="AT221" s="536"/>
      <c r="AU221" s="536"/>
      <c r="AV221" s="536"/>
      <c r="AW221" s="536"/>
      <c r="AX221" s="536"/>
    </row>
    <row r="222" spans="7:50" x14ac:dyDescent="0.25">
      <c r="G222" s="536"/>
      <c r="H222" s="536"/>
      <c r="I222" s="536"/>
      <c r="J222" s="536"/>
      <c r="K222" s="536"/>
      <c r="L222" s="536"/>
      <c r="M222" s="536"/>
      <c r="N222" s="536"/>
      <c r="O222" s="536"/>
      <c r="P222" s="536"/>
      <c r="Q222" s="536"/>
      <c r="R222" s="536"/>
      <c r="S222" s="536"/>
      <c r="T222" s="536"/>
      <c r="U222" s="536"/>
      <c r="V222" s="536"/>
      <c r="W222" s="536"/>
      <c r="X222" s="536"/>
      <c r="Y222" s="536"/>
      <c r="Z222" s="536"/>
      <c r="AA222" s="536"/>
      <c r="AB222" s="536"/>
      <c r="AC222" s="536"/>
      <c r="AD222" s="536"/>
      <c r="AE222" s="536"/>
      <c r="AF222" s="536"/>
      <c r="AG222" s="536"/>
      <c r="AH222" s="536"/>
      <c r="AI222" s="536"/>
      <c r="AJ222" s="536"/>
      <c r="AK222" s="536"/>
      <c r="AL222" s="536"/>
      <c r="AM222" s="536"/>
      <c r="AN222" s="536"/>
      <c r="AO222" s="536"/>
      <c r="AP222" s="536"/>
      <c r="AQ222" s="536"/>
      <c r="AR222" s="536"/>
      <c r="AS222" s="536"/>
      <c r="AT222" s="536"/>
      <c r="AU222" s="536"/>
      <c r="AV222" s="536"/>
      <c r="AW222" s="536"/>
      <c r="AX222" s="536"/>
    </row>
    <row r="223" spans="7:50" x14ac:dyDescent="0.25">
      <c r="G223" s="536"/>
      <c r="H223" s="536"/>
      <c r="I223" s="536"/>
      <c r="J223" s="536"/>
      <c r="K223" s="536"/>
      <c r="L223" s="536"/>
      <c r="M223" s="536"/>
      <c r="N223" s="536"/>
      <c r="O223" s="536"/>
      <c r="P223" s="536"/>
      <c r="Q223" s="536"/>
      <c r="R223" s="536"/>
      <c r="S223" s="536"/>
      <c r="T223" s="536"/>
      <c r="U223" s="536"/>
      <c r="V223" s="536"/>
      <c r="W223" s="536"/>
      <c r="X223" s="536"/>
      <c r="Y223" s="536"/>
      <c r="Z223" s="536"/>
      <c r="AA223" s="536"/>
      <c r="AB223" s="536"/>
      <c r="AC223" s="536"/>
      <c r="AD223" s="536"/>
      <c r="AE223" s="536"/>
      <c r="AF223" s="536"/>
      <c r="AG223" s="536"/>
      <c r="AH223" s="536"/>
      <c r="AI223" s="536"/>
      <c r="AJ223" s="536"/>
      <c r="AK223" s="536"/>
      <c r="AL223" s="536"/>
      <c r="AM223" s="536"/>
      <c r="AN223" s="536"/>
      <c r="AO223" s="536"/>
      <c r="AP223" s="536"/>
      <c r="AQ223" s="536"/>
      <c r="AR223" s="536"/>
      <c r="AS223" s="536"/>
      <c r="AT223" s="536"/>
      <c r="AU223" s="536"/>
      <c r="AV223" s="536"/>
      <c r="AW223" s="536"/>
      <c r="AX223" s="536"/>
    </row>
    <row r="224" spans="7:50" x14ac:dyDescent="0.25">
      <c r="G224" s="536"/>
      <c r="H224" s="536"/>
      <c r="I224" s="536"/>
      <c r="J224" s="536"/>
      <c r="K224" s="536"/>
      <c r="L224" s="536"/>
      <c r="M224" s="536"/>
      <c r="N224" s="536"/>
      <c r="O224" s="536"/>
      <c r="P224" s="536"/>
      <c r="Q224" s="536"/>
      <c r="R224" s="536"/>
      <c r="S224" s="536"/>
      <c r="T224" s="536"/>
      <c r="U224" s="536"/>
      <c r="V224" s="536"/>
      <c r="W224" s="536"/>
      <c r="X224" s="536"/>
      <c r="Y224" s="536"/>
      <c r="Z224" s="536"/>
      <c r="AA224" s="536"/>
      <c r="AB224" s="536"/>
      <c r="AC224" s="536"/>
      <c r="AD224" s="536"/>
      <c r="AE224" s="536"/>
      <c r="AF224" s="536"/>
      <c r="AG224" s="536"/>
      <c r="AH224" s="536"/>
      <c r="AI224" s="536"/>
      <c r="AJ224" s="536"/>
      <c r="AK224" s="536"/>
      <c r="AL224" s="536"/>
      <c r="AM224" s="536"/>
      <c r="AN224" s="536"/>
      <c r="AO224" s="536"/>
      <c r="AP224" s="536"/>
      <c r="AQ224" s="536"/>
      <c r="AR224" s="536"/>
      <c r="AS224" s="536"/>
      <c r="AT224" s="536"/>
      <c r="AU224" s="536"/>
      <c r="AV224" s="536"/>
      <c r="AW224" s="536"/>
      <c r="AX224" s="536"/>
    </row>
    <row r="225" spans="7:50" x14ac:dyDescent="0.25">
      <c r="G225" s="536"/>
      <c r="H225" s="536"/>
      <c r="I225" s="536"/>
      <c r="J225" s="536"/>
      <c r="K225" s="536"/>
      <c r="L225" s="536"/>
      <c r="M225" s="536"/>
      <c r="N225" s="536"/>
      <c r="O225" s="536"/>
      <c r="P225" s="536"/>
      <c r="Q225" s="536"/>
      <c r="R225" s="536"/>
      <c r="S225" s="536"/>
      <c r="T225" s="536"/>
      <c r="U225" s="536"/>
      <c r="V225" s="536"/>
      <c r="W225" s="536"/>
      <c r="X225" s="536"/>
      <c r="Y225" s="536"/>
      <c r="Z225" s="536"/>
      <c r="AA225" s="536"/>
      <c r="AB225" s="536"/>
      <c r="AC225" s="536"/>
      <c r="AD225" s="536"/>
      <c r="AE225" s="536"/>
      <c r="AF225" s="536"/>
      <c r="AG225" s="536"/>
      <c r="AH225" s="536"/>
      <c r="AI225" s="536"/>
      <c r="AJ225" s="536"/>
      <c r="AK225" s="536"/>
      <c r="AL225" s="536"/>
      <c r="AM225" s="536"/>
      <c r="AN225" s="536"/>
      <c r="AO225" s="536"/>
      <c r="AP225" s="536"/>
      <c r="AQ225" s="536"/>
      <c r="AR225" s="536"/>
      <c r="AS225" s="536"/>
      <c r="AT225" s="536"/>
      <c r="AU225" s="536"/>
      <c r="AV225" s="536"/>
      <c r="AW225" s="536"/>
      <c r="AX225" s="536"/>
    </row>
    <row r="226" spans="7:50" x14ac:dyDescent="0.25">
      <c r="G226" s="536"/>
      <c r="H226" s="536"/>
      <c r="I226" s="536"/>
      <c r="J226" s="536"/>
      <c r="K226" s="536"/>
      <c r="L226" s="536"/>
      <c r="M226" s="536"/>
      <c r="N226" s="536"/>
      <c r="O226" s="536"/>
      <c r="P226" s="536"/>
      <c r="Q226" s="536"/>
      <c r="R226" s="536"/>
      <c r="S226" s="536"/>
      <c r="T226" s="536"/>
      <c r="U226" s="536"/>
      <c r="V226" s="536"/>
      <c r="W226" s="536"/>
      <c r="X226" s="536"/>
      <c r="Y226" s="536"/>
      <c r="Z226" s="536"/>
      <c r="AA226" s="536"/>
      <c r="AB226" s="536"/>
      <c r="AC226" s="536"/>
      <c r="AD226" s="536"/>
      <c r="AE226" s="536"/>
      <c r="AF226" s="536"/>
      <c r="AG226" s="536"/>
      <c r="AH226" s="536"/>
      <c r="AI226" s="536"/>
      <c r="AJ226" s="536"/>
      <c r="AK226" s="536"/>
      <c r="AL226" s="536"/>
      <c r="AM226" s="536"/>
      <c r="AN226" s="536"/>
      <c r="AO226" s="536"/>
      <c r="AP226" s="536"/>
      <c r="AQ226" s="536"/>
      <c r="AR226" s="536"/>
      <c r="AS226" s="536"/>
      <c r="AT226" s="536"/>
      <c r="AU226" s="536"/>
      <c r="AV226" s="536"/>
      <c r="AW226" s="536"/>
      <c r="AX226" s="536"/>
    </row>
    <row r="227" spans="7:50" x14ac:dyDescent="0.25">
      <c r="G227" s="536"/>
      <c r="H227" s="536"/>
      <c r="I227" s="536"/>
      <c r="J227" s="536"/>
      <c r="K227" s="536"/>
      <c r="L227" s="536"/>
      <c r="M227" s="536"/>
      <c r="N227" s="536"/>
      <c r="O227" s="536"/>
      <c r="P227" s="536"/>
      <c r="Q227" s="536"/>
      <c r="R227" s="536"/>
      <c r="S227" s="536"/>
      <c r="T227" s="536"/>
      <c r="U227" s="536"/>
      <c r="V227" s="536"/>
      <c r="W227" s="536"/>
      <c r="X227" s="536"/>
      <c r="Y227" s="536"/>
      <c r="Z227" s="536"/>
      <c r="AA227" s="536"/>
      <c r="AB227" s="536"/>
      <c r="AC227" s="536"/>
      <c r="AD227" s="536"/>
      <c r="AE227" s="536"/>
      <c r="AF227" s="536"/>
      <c r="AG227" s="536"/>
      <c r="AH227" s="536"/>
      <c r="AI227" s="536"/>
      <c r="AJ227" s="536"/>
      <c r="AK227" s="536"/>
      <c r="AL227" s="536"/>
      <c r="AM227" s="536"/>
      <c r="AN227" s="536"/>
      <c r="AO227" s="536"/>
      <c r="AP227" s="536"/>
      <c r="AQ227" s="536"/>
      <c r="AR227" s="536"/>
      <c r="AS227" s="536"/>
      <c r="AT227" s="536"/>
      <c r="AU227" s="536"/>
      <c r="AV227" s="536"/>
      <c r="AW227" s="536"/>
      <c r="AX227" s="536"/>
    </row>
    <row r="228" spans="7:50" x14ac:dyDescent="0.25">
      <c r="G228" s="536"/>
      <c r="H228" s="536"/>
      <c r="I228" s="536"/>
      <c r="J228" s="536"/>
      <c r="K228" s="536"/>
      <c r="L228" s="536"/>
      <c r="M228" s="536"/>
      <c r="N228" s="536"/>
      <c r="O228" s="536"/>
      <c r="P228" s="536"/>
      <c r="Q228" s="536"/>
      <c r="R228" s="536"/>
      <c r="S228" s="536"/>
      <c r="T228" s="536"/>
      <c r="U228" s="536"/>
      <c r="V228" s="536"/>
      <c r="W228" s="536"/>
      <c r="X228" s="536"/>
      <c r="Y228" s="536"/>
      <c r="Z228" s="536"/>
      <c r="AA228" s="536"/>
      <c r="AB228" s="536"/>
      <c r="AC228" s="536"/>
      <c r="AD228" s="536"/>
      <c r="AE228" s="536"/>
      <c r="AF228" s="536"/>
      <c r="AG228" s="536"/>
      <c r="AH228" s="536"/>
      <c r="AI228" s="536"/>
      <c r="AJ228" s="536"/>
      <c r="AK228" s="536"/>
      <c r="AL228" s="536"/>
      <c r="AM228" s="536"/>
      <c r="AN228" s="536"/>
      <c r="AO228" s="536"/>
      <c r="AP228" s="536"/>
      <c r="AQ228" s="536"/>
      <c r="AR228" s="536"/>
      <c r="AS228" s="536"/>
      <c r="AT228" s="536"/>
      <c r="AU228" s="536"/>
      <c r="AV228" s="536"/>
      <c r="AW228" s="536"/>
      <c r="AX228" s="536"/>
    </row>
    <row r="229" spans="7:50" x14ac:dyDescent="0.25">
      <c r="G229" s="536"/>
      <c r="H229" s="536"/>
      <c r="I229" s="536"/>
      <c r="J229" s="536"/>
      <c r="K229" s="536"/>
      <c r="L229" s="536"/>
      <c r="M229" s="536"/>
      <c r="N229" s="536"/>
      <c r="O229" s="536"/>
      <c r="P229" s="536"/>
      <c r="Q229" s="536"/>
      <c r="R229" s="536"/>
      <c r="S229" s="536"/>
      <c r="T229" s="536"/>
      <c r="U229" s="536"/>
      <c r="V229" s="536"/>
      <c r="W229" s="536"/>
      <c r="X229" s="536"/>
      <c r="Y229" s="536"/>
      <c r="Z229" s="536"/>
      <c r="AA229" s="536"/>
      <c r="AB229" s="536"/>
      <c r="AC229" s="536"/>
      <c r="AD229" s="536"/>
      <c r="AE229" s="536"/>
      <c r="AF229" s="536"/>
      <c r="AG229" s="536"/>
      <c r="AH229" s="536"/>
      <c r="AI229" s="536"/>
      <c r="AJ229" s="536"/>
      <c r="AK229" s="536"/>
      <c r="AL229" s="536"/>
      <c r="AM229" s="536"/>
      <c r="AN229" s="536"/>
      <c r="AO229" s="536"/>
      <c r="AP229" s="536"/>
      <c r="AQ229" s="536"/>
      <c r="AR229" s="536"/>
      <c r="AS229" s="536"/>
      <c r="AT229" s="536"/>
      <c r="AU229" s="536"/>
      <c r="AV229" s="536"/>
      <c r="AW229" s="536"/>
      <c r="AX229" s="536"/>
    </row>
    <row r="230" spans="7:50" x14ac:dyDescent="0.25">
      <c r="G230" s="536"/>
      <c r="H230" s="536"/>
      <c r="I230" s="536"/>
      <c r="J230" s="536"/>
      <c r="K230" s="536"/>
      <c r="L230" s="536"/>
      <c r="M230" s="536"/>
      <c r="N230" s="536"/>
      <c r="O230" s="536"/>
      <c r="P230" s="536"/>
      <c r="Q230" s="536"/>
      <c r="R230" s="536"/>
      <c r="S230" s="536"/>
      <c r="T230" s="536"/>
      <c r="U230" s="536"/>
      <c r="V230" s="536"/>
      <c r="W230" s="536"/>
      <c r="X230" s="536"/>
      <c r="Y230" s="536"/>
      <c r="Z230" s="536"/>
      <c r="AA230" s="536"/>
      <c r="AB230" s="536"/>
      <c r="AC230" s="536"/>
      <c r="AD230" s="536"/>
      <c r="AE230" s="536"/>
      <c r="AF230" s="536"/>
      <c r="AG230" s="536"/>
      <c r="AH230" s="536"/>
      <c r="AI230" s="536"/>
      <c r="AJ230" s="536"/>
      <c r="AK230" s="536"/>
      <c r="AL230" s="536"/>
      <c r="AM230" s="536"/>
      <c r="AN230" s="536"/>
      <c r="AO230" s="536"/>
      <c r="AP230" s="536"/>
      <c r="AQ230" s="536"/>
      <c r="AR230" s="536"/>
      <c r="AS230" s="536"/>
      <c r="AT230" s="536"/>
      <c r="AU230" s="536"/>
      <c r="AV230" s="536"/>
      <c r="AW230" s="536"/>
      <c r="AX230" s="536"/>
    </row>
    <row r="231" spans="7:50" x14ac:dyDescent="0.25">
      <c r="G231" s="536"/>
      <c r="H231" s="536"/>
      <c r="I231" s="536"/>
      <c r="J231" s="536"/>
      <c r="K231" s="536"/>
      <c r="L231" s="536"/>
      <c r="M231" s="536"/>
      <c r="N231" s="536"/>
      <c r="O231" s="536"/>
      <c r="P231" s="536"/>
      <c r="Q231" s="536"/>
      <c r="R231" s="536"/>
      <c r="S231" s="536"/>
      <c r="T231" s="536"/>
      <c r="U231" s="536"/>
      <c r="V231" s="536"/>
      <c r="W231" s="536"/>
      <c r="X231" s="536"/>
      <c r="Y231" s="536"/>
      <c r="Z231" s="536"/>
      <c r="AA231" s="536"/>
      <c r="AB231" s="536"/>
      <c r="AC231" s="536"/>
      <c r="AD231" s="536"/>
      <c r="AE231" s="536"/>
      <c r="AF231" s="536"/>
      <c r="AG231" s="536"/>
      <c r="AH231" s="536"/>
      <c r="AI231" s="536"/>
      <c r="AJ231" s="536"/>
      <c r="AK231" s="536"/>
      <c r="AL231" s="536"/>
      <c r="AM231" s="536"/>
      <c r="AN231" s="536"/>
      <c r="AO231" s="536"/>
      <c r="AP231" s="536"/>
      <c r="AQ231" s="536"/>
      <c r="AR231" s="536"/>
      <c r="AS231" s="536"/>
      <c r="AT231" s="536"/>
      <c r="AU231" s="536"/>
      <c r="AV231" s="536"/>
      <c r="AW231" s="536"/>
      <c r="AX231" s="536"/>
    </row>
    <row r="232" spans="7:50" x14ac:dyDescent="0.25">
      <c r="G232" s="536"/>
      <c r="H232" s="536"/>
      <c r="I232" s="536"/>
      <c r="J232" s="536"/>
      <c r="K232" s="536"/>
      <c r="L232" s="536"/>
      <c r="M232" s="536"/>
      <c r="N232" s="536"/>
      <c r="O232" s="536"/>
      <c r="P232" s="536"/>
      <c r="Q232" s="536"/>
      <c r="R232" s="536"/>
      <c r="S232" s="536"/>
      <c r="T232" s="536"/>
      <c r="U232" s="536"/>
      <c r="V232" s="536"/>
      <c r="W232" s="536"/>
      <c r="X232" s="536"/>
      <c r="Y232" s="536"/>
      <c r="Z232" s="536"/>
      <c r="AA232" s="536"/>
      <c r="AB232" s="536"/>
      <c r="AC232" s="536"/>
      <c r="AD232" s="536"/>
      <c r="AE232" s="536"/>
      <c r="AF232" s="536"/>
      <c r="AG232" s="536"/>
      <c r="AH232" s="536"/>
      <c r="AI232" s="536"/>
      <c r="AJ232" s="536"/>
      <c r="AK232" s="536"/>
      <c r="AL232" s="536"/>
      <c r="AM232" s="536"/>
      <c r="AN232" s="536"/>
      <c r="AO232" s="536"/>
      <c r="AP232" s="536"/>
      <c r="AQ232" s="536"/>
      <c r="AR232" s="536"/>
      <c r="AS232" s="536"/>
      <c r="AT232" s="536"/>
      <c r="AU232" s="536"/>
      <c r="AV232" s="536"/>
      <c r="AW232" s="536"/>
      <c r="AX232" s="536"/>
    </row>
    <row r="233" spans="7:50" x14ac:dyDescent="0.25">
      <c r="G233" s="536"/>
      <c r="H233" s="536"/>
      <c r="I233" s="536"/>
      <c r="J233" s="536"/>
      <c r="K233" s="536"/>
      <c r="L233" s="536"/>
      <c r="M233" s="536"/>
      <c r="N233" s="536"/>
      <c r="O233" s="536"/>
      <c r="P233" s="536"/>
      <c r="Q233" s="536"/>
      <c r="R233" s="536"/>
      <c r="S233" s="536"/>
      <c r="T233" s="536"/>
      <c r="U233" s="536"/>
      <c r="V233" s="536"/>
      <c r="W233" s="536"/>
      <c r="X233" s="536"/>
      <c r="Y233" s="536"/>
      <c r="Z233" s="536"/>
      <c r="AA233" s="536"/>
      <c r="AB233" s="536"/>
      <c r="AC233" s="536"/>
      <c r="AD233" s="536"/>
      <c r="AE233" s="536"/>
      <c r="AF233" s="536"/>
      <c r="AG233" s="536"/>
      <c r="AH233" s="536"/>
      <c r="AI233" s="536"/>
      <c r="AJ233" s="536"/>
      <c r="AK233" s="536"/>
      <c r="AL233" s="536"/>
      <c r="AM233" s="536"/>
      <c r="AN233" s="536"/>
      <c r="AO233" s="536"/>
      <c r="AP233" s="536"/>
      <c r="AQ233" s="536"/>
      <c r="AR233" s="536"/>
      <c r="AS233" s="536"/>
      <c r="AT233" s="536"/>
      <c r="AU233" s="536"/>
      <c r="AV233" s="536"/>
      <c r="AW233" s="536"/>
      <c r="AX233" s="536"/>
    </row>
    <row r="234" spans="7:50" x14ac:dyDescent="0.25">
      <c r="G234" s="536"/>
      <c r="H234" s="536"/>
      <c r="I234" s="536"/>
      <c r="J234" s="536"/>
      <c r="K234" s="536"/>
      <c r="L234" s="536"/>
      <c r="M234" s="536"/>
      <c r="N234" s="536"/>
      <c r="O234" s="536"/>
      <c r="P234" s="536"/>
      <c r="Q234" s="536"/>
      <c r="R234" s="536"/>
      <c r="S234" s="536"/>
      <c r="T234" s="536"/>
      <c r="U234" s="536"/>
      <c r="V234" s="536"/>
      <c r="W234" s="536"/>
      <c r="X234" s="536"/>
      <c r="Y234" s="536"/>
      <c r="Z234" s="536"/>
      <c r="AA234" s="536"/>
      <c r="AB234" s="536"/>
      <c r="AC234" s="536"/>
      <c r="AD234" s="536"/>
      <c r="AE234" s="536"/>
      <c r="AF234" s="536"/>
      <c r="AG234" s="536"/>
      <c r="AH234" s="536"/>
      <c r="AI234" s="536"/>
      <c r="AJ234" s="536"/>
      <c r="AK234" s="536"/>
      <c r="AL234" s="536"/>
      <c r="AM234" s="536"/>
      <c r="AN234" s="536"/>
      <c r="AO234" s="536"/>
      <c r="AP234" s="536"/>
      <c r="AQ234" s="536"/>
      <c r="AR234" s="536"/>
      <c r="AS234" s="536"/>
      <c r="AT234" s="536"/>
      <c r="AU234" s="536"/>
      <c r="AV234" s="536"/>
      <c r="AW234" s="536"/>
      <c r="AX234" s="536"/>
    </row>
    <row r="235" spans="7:50" x14ac:dyDescent="0.25">
      <c r="G235" s="536"/>
      <c r="H235" s="536"/>
      <c r="I235" s="536"/>
      <c r="J235" s="536"/>
      <c r="K235" s="536"/>
      <c r="L235" s="536"/>
      <c r="M235" s="536"/>
      <c r="N235" s="536"/>
      <c r="O235" s="536"/>
      <c r="P235" s="536"/>
      <c r="Q235" s="536"/>
      <c r="R235" s="536"/>
      <c r="S235" s="536"/>
      <c r="T235" s="536"/>
      <c r="U235" s="536"/>
      <c r="V235" s="536"/>
      <c r="W235" s="536"/>
      <c r="X235" s="536"/>
      <c r="Y235" s="536"/>
      <c r="Z235" s="536"/>
      <c r="AA235" s="536"/>
      <c r="AB235" s="536"/>
      <c r="AC235" s="536"/>
      <c r="AD235" s="536"/>
      <c r="AE235" s="536"/>
      <c r="AF235" s="536"/>
      <c r="AG235" s="536"/>
      <c r="AH235" s="536"/>
      <c r="AI235" s="536"/>
      <c r="AJ235" s="536"/>
      <c r="AK235" s="536"/>
      <c r="AL235" s="536"/>
      <c r="AM235" s="536"/>
      <c r="AN235" s="536"/>
      <c r="AO235" s="536"/>
      <c r="AP235" s="536"/>
      <c r="AQ235" s="536"/>
      <c r="AR235" s="536"/>
      <c r="AS235" s="536"/>
      <c r="AT235" s="536"/>
      <c r="AU235" s="536"/>
      <c r="AV235" s="536"/>
      <c r="AW235" s="536"/>
      <c r="AX235" s="536"/>
    </row>
    <row r="236" spans="7:50" x14ac:dyDescent="0.25">
      <c r="G236" s="536"/>
      <c r="H236" s="536"/>
      <c r="I236" s="536"/>
      <c r="J236" s="536"/>
      <c r="K236" s="536"/>
      <c r="L236" s="536"/>
      <c r="M236" s="536"/>
      <c r="N236" s="536"/>
      <c r="O236" s="536"/>
      <c r="P236" s="536"/>
      <c r="Q236" s="536"/>
      <c r="R236" s="536"/>
      <c r="S236" s="536"/>
      <c r="T236" s="536"/>
      <c r="U236" s="536"/>
      <c r="V236" s="536"/>
      <c r="W236" s="536"/>
      <c r="X236" s="536"/>
      <c r="Y236" s="536"/>
      <c r="Z236" s="536"/>
      <c r="AA236" s="536"/>
      <c r="AB236" s="536"/>
      <c r="AC236" s="536"/>
      <c r="AD236" s="536"/>
      <c r="AE236" s="536"/>
      <c r="AF236" s="536"/>
      <c r="AG236" s="536"/>
      <c r="AH236" s="536"/>
      <c r="AI236" s="536"/>
      <c r="AJ236" s="536"/>
      <c r="AK236" s="536"/>
      <c r="AL236" s="536"/>
      <c r="AM236" s="536"/>
      <c r="AN236" s="536"/>
      <c r="AO236" s="536"/>
      <c r="AP236" s="536"/>
      <c r="AQ236" s="536"/>
      <c r="AR236" s="536"/>
      <c r="AS236" s="536"/>
      <c r="AT236" s="536"/>
      <c r="AU236" s="536"/>
      <c r="AV236" s="536"/>
      <c r="AW236" s="536"/>
      <c r="AX236" s="536"/>
    </row>
    <row r="237" spans="7:50" x14ac:dyDescent="0.25">
      <c r="G237" s="536"/>
      <c r="H237" s="536"/>
      <c r="I237" s="536"/>
      <c r="J237" s="536"/>
      <c r="K237" s="536"/>
      <c r="L237" s="536"/>
      <c r="M237" s="536"/>
      <c r="N237" s="536"/>
      <c r="O237" s="536"/>
      <c r="P237" s="536"/>
      <c r="Q237" s="536"/>
      <c r="R237" s="536"/>
      <c r="S237" s="536"/>
      <c r="T237" s="536"/>
      <c r="U237" s="536"/>
      <c r="V237" s="536"/>
      <c r="W237" s="536"/>
      <c r="X237" s="536"/>
      <c r="Y237" s="536"/>
      <c r="Z237" s="536"/>
      <c r="AA237" s="536"/>
      <c r="AB237" s="536"/>
      <c r="AC237" s="536"/>
      <c r="AD237" s="536"/>
      <c r="AE237" s="536"/>
      <c r="AF237" s="536"/>
      <c r="AG237" s="536"/>
      <c r="AH237" s="536"/>
      <c r="AI237" s="536"/>
      <c r="AJ237" s="536"/>
      <c r="AK237" s="536"/>
      <c r="AL237" s="536"/>
      <c r="AM237" s="536"/>
      <c r="AN237" s="536"/>
      <c r="AO237" s="536"/>
      <c r="AP237" s="536"/>
      <c r="AQ237" s="536"/>
      <c r="AR237" s="536"/>
      <c r="AS237" s="536"/>
      <c r="AT237" s="536"/>
      <c r="AU237" s="536"/>
      <c r="AV237" s="536"/>
      <c r="AW237" s="536"/>
      <c r="AX237" s="536"/>
    </row>
    <row r="238" spans="7:50" x14ac:dyDescent="0.25">
      <c r="G238" s="536"/>
      <c r="H238" s="536"/>
      <c r="I238" s="536"/>
      <c r="J238" s="536"/>
      <c r="K238" s="536"/>
      <c r="L238" s="536"/>
      <c r="M238" s="536"/>
      <c r="N238" s="536"/>
      <c r="O238" s="536"/>
      <c r="P238" s="536"/>
      <c r="Q238" s="536"/>
      <c r="R238" s="536"/>
      <c r="S238" s="536"/>
      <c r="T238" s="536"/>
      <c r="U238" s="536"/>
      <c r="V238" s="536"/>
      <c r="W238" s="536"/>
      <c r="X238" s="536"/>
      <c r="Y238" s="536"/>
      <c r="Z238" s="536"/>
      <c r="AA238" s="536"/>
      <c r="AB238" s="536"/>
      <c r="AC238" s="536"/>
      <c r="AD238" s="536"/>
      <c r="AE238" s="536"/>
      <c r="AF238" s="536"/>
      <c r="AG238" s="536"/>
      <c r="AH238" s="536"/>
      <c r="AI238" s="536"/>
      <c r="AJ238" s="536"/>
      <c r="AK238" s="536"/>
      <c r="AL238" s="536"/>
      <c r="AM238" s="536"/>
      <c r="AN238" s="536"/>
      <c r="AO238" s="536"/>
      <c r="AP238" s="536"/>
      <c r="AQ238" s="536"/>
      <c r="AR238" s="536"/>
      <c r="AS238" s="536"/>
      <c r="AT238" s="536"/>
      <c r="AU238" s="536"/>
      <c r="AV238" s="536"/>
      <c r="AW238" s="536"/>
      <c r="AX238" s="536"/>
    </row>
  </sheetData>
  <mergeCells count="5">
    <mergeCell ref="W8:AJ8"/>
    <mergeCell ref="AL8:AO8"/>
    <mergeCell ref="B1:T1"/>
    <mergeCell ref="B2:T2"/>
    <mergeCell ref="G5:T5"/>
  </mergeCells>
  <pageMargins left="0.70866141732283472" right="0.70866141732283472" top="0.74803149606299213" bottom="0.74803149606299213" header="0.31496062992125984" footer="0.31496062992125984"/>
  <pageSetup paperSize="9" scale="48" orientation="landscape"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P310"/>
  <sheetViews>
    <sheetView view="pageBreakPreview" topLeftCell="G1" zoomScaleNormal="100" zoomScaleSheetLayoutView="100" workbookViewId="0">
      <selection activeCell="Y11" sqref="Y11"/>
    </sheetView>
  </sheetViews>
  <sheetFormatPr defaultColWidth="8.85546875" defaultRowHeight="12.75" x14ac:dyDescent="0.2"/>
  <cols>
    <col min="1" max="1" width="1.7109375" style="180" customWidth="1"/>
    <col min="2" max="2" width="3" style="180" customWidth="1"/>
    <col min="3" max="4" width="1.85546875" style="180" customWidth="1"/>
    <col min="5" max="5" width="55.85546875" style="180" customWidth="1"/>
    <col min="6" max="6" width="4.7109375" style="449" customWidth="1"/>
    <col min="7" max="7" width="16.28515625" style="180" customWidth="1"/>
    <col min="8" max="8" width="15.7109375" style="180" customWidth="1"/>
    <col min="9" max="9" width="16.28515625" style="180" customWidth="1"/>
    <col min="10" max="10" width="14" style="180" customWidth="1"/>
    <col min="11" max="11" width="15.42578125" style="180" customWidth="1"/>
    <col min="12" max="14" width="15.7109375" style="180" customWidth="1"/>
    <col min="15" max="16" width="15.85546875" style="180" customWidth="1"/>
    <col min="17" max="17" width="16.42578125" style="180" customWidth="1"/>
    <col min="18" max="19" width="11.28515625" style="180" hidden="1" customWidth="1"/>
    <col min="20" max="20" width="16.28515625" style="180" customWidth="1"/>
    <col min="21" max="21" width="3" style="180" customWidth="1"/>
    <col min="22" max="22" width="1.7109375" style="180" customWidth="1"/>
    <col min="23" max="23" width="16.42578125" style="180" hidden="1" customWidth="1"/>
    <col min="24" max="24" width="12.5703125" style="180" hidden="1" customWidth="1"/>
    <col min="25" max="25" width="9.85546875" style="180" customWidth="1"/>
    <col min="26" max="26" width="12.85546875" style="180" hidden="1" customWidth="1"/>
    <col min="27" max="27" width="12.5703125" style="180" bestFit="1" customWidth="1"/>
    <col min="28" max="28" width="8.85546875" style="180" hidden="1" customWidth="1"/>
    <col min="29" max="242" width="8.85546875" style="180"/>
    <col min="243" max="243" width="1.7109375" style="180" customWidth="1"/>
    <col min="244" max="244" width="3" style="180" customWidth="1"/>
    <col min="245" max="246" width="1.85546875" style="180" customWidth="1"/>
    <col min="247" max="247" width="55.85546875" style="180" customWidth="1"/>
    <col min="248" max="248" width="4.7109375" style="180" customWidth="1"/>
    <col min="249" max="249" width="16.28515625" style="180" customWidth="1"/>
    <col min="250" max="258" width="0" style="180" hidden="1" customWidth="1"/>
    <col min="259" max="259" width="15.7109375" style="180" customWidth="1"/>
    <col min="260" max="261" width="0" style="180" hidden="1" customWidth="1"/>
    <col min="262" max="263" width="16.28515625" style="180" customWidth="1"/>
    <col min="264" max="272" width="0" style="180" hidden="1" customWidth="1"/>
    <col min="273" max="273" width="16.140625" style="180" customWidth="1"/>
    <col min="274" max="275" width="0" style="180" hidden="1" customWidth="1"/>
    <col min="276" max="276" width="16.28515625" style="180" customWidth="1"/>
    <col min="277" max="277" width="3" style="180" customWidth="1"/>
    <col min="278" max="278" width="1.7109375" style="180" customWidth="1"/>
    <col min="279" max="280" width="0" style="180" hidden="1" customWidth="1"/>
    <col min="281" max="281" width="9.85546875" style="180" customWidth="1"/>
    <col min="282" max="282" width="0" style="180" hidden="1" customWidth="1"/>
    <col min="283" max="283" width="12.5703125" style="180" bestFit="1" customWidth="1"/>
    <col min="284" max="284" width="0" style="180" hidden="1" customWidth="1"/>
    <col min="285" max="498" width="8.85546875" style="180"/>
    <col min="499" max="499" width="1.7109375" style="180" customWidth="1"/>
    <col min="500" max="500" width="3" style="180" customWidth="1"/>
    <col min="501" max="502" width="1.85546875" style="180" customWidth="1"/>
    <col min="503" max="503" width="55.85546875" style="180" customWidth="1"/>
    <col min="504" max="504" width="4.7109375" style="180" customWidth="1"/>
    <col min="505" max="505" width="16.28515625" style="180" customWidth="1"/>
    <col min="506" max="514" width="0" style="180" hidden="1" customWidth="1"/>
    <col min="515" max="515" width="15.7109375" style="180" customWidth="1"/>
    <col min="516" max="517" width="0" style="180" hidden="1" customWidth="1"/>
    <col min="518" max="519" width="16.28515625" style="180" customWidth="1"/>
    <col min="520" max="528" width="0" style="180" hidden="1" customWidth="1"/>
    <col min="529" max="529" width="16.140625" style="180" customWidth="1"/>
    <col min="530" max="531" width="0" style="180" hidden="1" customWidth="1"/>
    <col min="532" max="532" width="16.28515625" style="180" customWidth="1"/>
    <col min="533" max="533" width="3" style="180" customWidth="1"/>
    <col min="534" max="534" width="1.7109375" style="180" customWidth="1"/>
    <col min="535" max="536" width="0" style="180" hidden="1" customWidth="1"/>
    <col min="537" max="537" width="9.85546875" style="180" customWidth="1"/>
    <col min="538" max="538" width="0" style="180" hidden="1" customWidth="1"/>
    <col min="539" max="539" width="12.5703125" style="180" bestFit="1" customWidth="1"/>
    <col min="540" max="540" width="0" style="180" hidden="1" customWidth="1"/>
    <col min="541" max="754" width="8.85546875" style="180"/>
    <col min="755" max="755" width="1.7109375" style="180" customWidth="1"/>
    <col min="756" max="756" width="3" style="180" customWidth="1"/>
    <col min="757" max="758" width="1.85546875" style="180" customWidth="1"/>
    <col min="759" max="759" width="55.85546875" style="180" customWidth="1"/>
    <col min="760" max="760" width="4.7109375" style="180" customWidth="1"/>
    <col min="761" max="761" width="16.28515625" style="180" customWidth="1"/>
    <col min="762" max="770" width="0" style="180" hidden="1" customWidth="1"/>
    <col min="771" max="771" width="15.7109375" style="180" customWidth="1"/>
    <col min="772" max="773" width="0" style="180" hidden="1" customWidth="1"/>
    <col min="774" max="775" width="16.28515625" style="180" customWidth="1"/>
    <col min="776" max="784" width="0" style="180" hidden="1" customWidth="1"/>
    <col min="785" max="785" width="16.140625" style="180" customWidth="1"/>
    <col min="786" max="787" width="0" style="180" hidden="1" customWidth="1"/>
    <col min="788" max="788" width="16.28515625" style="180" customWidth="1"/>
    <col min="789" max="789" width="3" style="180" customWidth="1"/>
    <col min="790" max="790" width="1.7109375" style="180" customWidth="1"/>
    <col min="791" max="792" width="0" style="180" hidden="1" customWidth="1"/>
    <col min="793" max="793" width="9.85546875" style="180" customWidth="1"/>
    <col min="794" max="794" width="0" style="180" hidden="1" customWidth="1"/>
    <col min="795" max="795" width="12.5703125" style="180" bestFit="1" customWidth="1"/>
    <col min="796" max="796" width="0" style="180" hidden="1" customWidth="1"/>
    <col min="797" max="1010" width="8.85546875" style="180"/>
    <col min="1011" max="1011" width="1.7109375" style="180" customWidth="1"/>
    <col min="1012" max="1012" width="3" style="180" customWidth="1"/>
    <col min="1013" max="1014" width="1.85546875" style="180" customWidth="1"/>
    <col min="1015" max="1015" width="55.85546875" style="180" customWidth="1"/>
    <col min="1016" max="1016" width="4.7109375" style="180" customWidth="1"/>
    <col min="1017" max="1017" width="16.28515625" style="180" customWidth="1"/>
    <col min="1018" max="1026" width="0" style="180" hidden="1" customWidth="1"/>
    <col min="1027" max="1027" width="15.7109375" style="180" customWidth="1"/>
    <col min="1028" max="1029" width="0" style="180" hidden="1" customWidth="1"/>
    <col min="1030" max="1031" width="16.28515625" style="180" customWidth="1"/>
    <col min="1032" max="1040" width="0" style="180" hidden="1" customWidth="1"/>
    <col min="1041" max="1041" width="16.140625" style="180" customWidth="1"/>
    <col min="1042" max="1043" width="0" style="180" hidden="1" customWidth="1"/>
    <col min="1044" max="1044" width="16.28515625" style="180" customWidth="1"/>
    <col min="1045" max="1045" width="3" style="180" customWidth="1"/>
    <col min="1046" max="1046" width="1.7109375" style="180" customWidth="1"/>
    <col min="1047" max="1048" width="0" style="180" hidden="1" customWidth="1"/>
    <col min="1049" max="1049" width="9.85546875" style="180" customWidth="1"/>
    <col min="1050" max="1050" width="0" style="180" hidden="1" customWidth="1"/>
    <col min="1051" max="1051" width="12.5703125" style="180" bestFit="1" customWidth="1"/>
    <col min="1052" max="1052" width="0" style="180" hidden="1" customWidth="1"/>
    <col min="1053" max="1266" width="8.85546875" style="180"/>
    <col min="1267" max="1267" width="1.7109375" style="180" customWidth="1"/>
    <col min="1268" max="1268" width="3" style="180" customWidth="1"/>
    <col min="1269" max="1270" width="1.85546875" style="180" customWidth="1"/>
    <col min="1271" max="1271" width="55.85546875" style="180" customWidth="1"/>
    <col min="1272" max="1272" width="4.7109375" style="180" customWidth="1"/>
    <col min="1273" max="1273" width="16.28515625" style="180" customWidth="1"/>
    <col min="1274" max="1282" width="0" style="180" hidden="1" customWidth="1"/>
    <col min="1283" max="1283" width="15.7109375" style="180" customWidth="1"/>
    <col min="1284" max="1285" width="0" style="180" hidden="1" customWidth="1"/>
    <col min="1286" max="1287" width="16.28515625" style="180" customWidth="1"/>
    <col min="1288" max="1296" width="0" style="180" hidden="1" customWidth="1"/>
    <col min="1297" max="1297" width="16.140625" style="180" customWidth="1"/>
    <col min="1298" max="1299" width="0" style="180" hidden="1" customWidth="1"/>
    <col min="1300" max="1300" width="16.28515625" style="180" customWidth="1"/>
    <col min="1301" max="1301" width="3" style="180" customWidth="1"/>
    <col min="1302" max="1302" width="1.7109375" style="180" customWidth="1"/>
    <col min="1303" max="1304" width="0" style="180" hidden="1" customWidth="1"/>
    <col min="1305" max="1305" width="9.85546875" style="180" customWidth="1"/>
    <col min="1306" max="1306" width="0" style="180" hidden="1" customWidth="1"/>
    <col min="1307" max="1307" width="12.5703125" style="180" bestFit="1" customWidth="1"/>
    <col min="1308" max="1308" width="0" style="180" hidden="1" customWidth="1"/>
    <col min="1309" max="1522" width="8.85546875" style="180"/>
    <col min="1523" max="1523" width="1.7109375" style="180" customWidth="1"/>
    <col min="1524" max="1524" width="3" style="180" customWidth="1"/>
    <col min="1525" max="1526" width="1.85546875" style="180" customWidth="1"/>
    <col min="1527" max="1527" width="55.85546875" style="180" customWidth="1"/>
    <col min="1528" max="1528" width="4.7109375" style="180" customWidth="1"/>
    <col min="1529" max="1529" width="16.28515625" style="180" customWidth="1"/>
    <col min="1530" max="1538" width="0" style="180" hidden="1" customWidth="1"/>
    <col min="1539" max="1539" width="15.7109375" style="180" customWidth="1"/>
    <col min="1540" max="1541" width="0" style="180" hidden="1" customWidth="1"/>
    <col min="1542" max="1543" width="16.28515625" style="180" customWidth="1"/>
    <col min="1544" max="1552" width="0" style="180" hidden="1" customWidth="1"/>
    <col min="1553" max="1553" width="16.140625" style="180" customWidth="1"/>
    <col min="1554" max="1555" width="0" style="180" hidden="1" customWidth="1"/>
    <col min="1556" max="1556" width="16.28515625" style="180" customWidth="1"/>
    <col min="1557" max="1557" width="3" style="180" customWidth="1"/>
    <col min="1558" max="1558" width="1.7109375" style="180" customWidth="1"/>
    <col min="1559" max="1560" width="0" style="180" hidden="1" customWidth="1"/>
    <col min="1561" max="1561" width="9.85546875" style="180" customWidth="1"/>
    <col min="1562" max="1562" width="0" style="180" hidden="1" customWidth="1"/>
    <col min="1563" max="1563" width="12.5703125" style="180" bestFit="1" customWidth="1"/>
    <col min="1564" max="1564" width="0" style="180" hidden="1" customWidth="1"/>
    <col min="1565" max="1778" width="8.85546875" style="180"/>
    <col min="1779" max="1779" width="1.7109375" style="180" customWidth="1"/>
    <col min="1780" max="1780" width="3" style="180" customWidth="1"/>
    <col min="1781" max="1782" width="1.85546875" style="180" customWidth="1"/>
    <col min="1783" max="1783" width="55.85546875" style="180" customWidth="1"/>
    <col min="1784" max="1784" width="4.7109375" style="180" customWidth="1"/>
    <col min="1785" max="1785" width="16.28515625" style="180" customWidth="1"/>
    <col min="1786" max="1794" width="0" style="180" hidden="1" customWidth="1"/>
    <col min="1795" max="1795" width="15.7109375" style="180" customWidth="1"/>
    <col min="1796" max="1797" width="0" style="180" hidden="1" customWidth="1"/>
    <col min="1798" max="1799" width="16.28515625" style="180" customWidth="1"/>
    <col min="1800" max="1808" width="0" style="180" hidden="1" customWidth="1"/>
    <col min="1809" max="1809" width="16.140625" style="180" customWidth="1"/>
    <col min="1810" max="1811" width="0" style="180" hidden="1" customWidth="1"/>
    <col min="1812" max="1812" width="16.28515625" style="180" customWidth="1"/>
    <col min="1813" max="1813" width="3" style="180" customWidth="1"/>
    <col min="1814" max="1814" width="1.7109375" style="180" customWidth="1"/>
    <col min="1815" max="1816" width="0" style="180" hidden="1" customWidth="1"/>
    <col min="1817" max="1817" width="9.85546875" style="180" customWidth="1"/>
    <col min="1818" max="1818" width="0" style="180" hidden="1" customWidth="1"/>
    <col min="1819" max="1819" width="12.5703125" style="180" bestFit="1" customWidth="1"/>
    <col min="1820" max="1820" width="0" style="180" hidden="1" customWidth="1"/>
    <col min="1821" max="2034" width="8.85546875" style="180"/>
    <col min="2035" max="2035" width="1.7109375" style="180" customWidth="1"/>
    <col min="2036" max="2036" width="3" style="180" customWidth="1"/>
    <col min="2037" max="2038" width="1.85546875" style="180" customWidth="1"/>
    <col min="2039" max="2039" width="55.85546875" style="180" customWidth="1"/>
    <col min="2040" max="2040" width="4.7109375" style="180" customWidth="1"/>
    <col min="2041" max="2041" width="16.28515625" style="180" customWidth="1"/>
    <col min="2042" max="2050" width="0" style="180" hidden="1" customWidth="1"/>
    <col min="2051" max="2051" width="15.7109375" style="180" customWidth="1"/>
    <col min="2052" max="2053" width="0" style="180" hidden="1" customWidth="1"/>
    <col min="2054" max="2055" width="16.28515625" style="180" customWidth="1"/>
    <col min="2056" max="2064" width="0" style="180" hidden="1" customWidth="1"/>
    <col min="2065" max="2065" width="16.140625" style="180" customWidth="1"/>
    <col min="2066" max="2067" width="0" style="180" hidden="1" customWidth="1"/>
    <col min="2068" max="2068" width="16.28515625" style="180" customWidth="1"/>
    <col min="2069" max="2069" width="3" style="180" customWidth="1"/>
    <col min="2070" max="2070" width="1.7109375" style="180" customWidth="1"/>
    <col min="2071" max="2072" width="0" style="180" hidden="1" customWidth="1"/>
    <col min="2073" max="2073" width="9.85546875" style="180" customWidth="1"/>
    <col min="2074" max="2074" width="0" style="180" hidden="1" customWidth="1"/>
    <col min="2075" max="2075" width="12.5703125" style="180" bestFit="1" customWidth="1"/>
    <col min="2076" max="2076" width="0" style="180" hidden="1" customWidth="1"/>
    <col min="2077" max="2290" width="8.85546875" style="180"/>
    <col min="2291" max="2291" width="1.7109375" style="180" customWidth="1"/>
    <col min="2292" max="2292" width="3" style="180" customWidth="1"/>
    <col min="2293" max="2294" width="1.85546875" style="180" customWidth="1"/>
    <col min="2295" max="2295" width="55.85546875" style="180" customWidth="1"/>
    <col min="2296" max="2296" width="4.7109375" style="180" customWidth="1"/>
    <col min="2297" max="2297" width="16.28515625" style="180" customWidth="1"/>
    <col min="2298" max="2306" width="0" style="180" hidden="1" customWidth="1"/>
    <col min="2307" max="2307" width="15.7109375" style="180" customWidth="1"/>
    <col min="2308" max="2309" width="0" style="180" hidden="1" customWidth="1"/>
    <col min="2310" max="2311" width="16.28515625" style="180" customWidth="1"/>
    <col min="2312" max="2320" width="0" style="180" hidden="1" customWidth="1"/>
    <col min="2321" max="2321" width="16.140625" style="180" customWidth="1"/>
    <col min="2322" max="2323" width="0" style="180" hidden="1" customWidth="1"/>
    <col min="2324" max="2324" width="16.28515625" style="180" customWidth="1"/>
    <col min="2325" max="2325" width="3" style="180" customWidth="1"/>
    <col min="2326" max="2326" width="1.7109375" style="180" customWidth="1"/>
    <col min="2327" max="2328" width="0" style="180" hidden="1" customWidth="1"/>
    <col min="2329" max="2329" width="9.85546875" style="180" customWidth="1"/>
    <col min="2330" max="2330" width="0" style="180" hidden="1" customWidth="1"/>
    <col min="2331" max="2331" width="12.5703125" style="180" bestFit="1" customWidth="1"/>
    <col min="2332" max="2332" width="0" style="180" hidden="1" customWidth="1"/>
    <col min="2333" max="2546" width="8.85546875" style="180"/>
    <col min="2547" max="2547" width="1.7109375" style="180" customWidth="1"/>
    <col min="2548" max="2548" width="3" style="180" customWidth="1"/>
    <col min="2549" max="2550" width="1.85546875" style="180" customWidth="1"/>
    <col min="2551" max="2551" width="55.85546875" style="180" customWidth="1"/>
    <col min="2552" max="2552" width="4.7109375" style="180" customWidth="1"/>
    <col min="2553" max="2553" width="16.28515625" style="180" customWidth="1"/>
    <col min="2554" max="2562" width="0" style="180" hidden="1" customWidth="1"/>
    <col min="2563" max="2563" width="15.7109375" style="180" customWidth="1"/>
    <col min="2564" max="2565" width="0" style="180" hidden="1" customWidth="1"/>
    <col min="2566" max="2567" width="16.28515625" style="180" customWidth="1"/>
    <col min="2568" max="2576" width="0" style="180" hidden="1" customWidth="1"/>
    <col min="2577" max="2577" width="16.140625" style="180" customWidth="1"/>
    <col min="2578" max="2579" width="0" style="180" hidden="1" customWidth="1"/>
    <col min="2580" max="2580" width="16.28515625" style="180" customWidth="1"/>
    <col min="2581" max="2581" width="3" style="180" customWidth="1"/>
    <col min="2582" max="2582" width="1.7109375" style="180" customWidth="1"/>
    <col min="2583" max="2584" width="0" style="180" hidden="1" customWidth="1"/>
    <col min="2585" max="2585" width="9.85546875" style="180" customWidth="1"/>
    <col min="2586" max="2586" width="0" style="180" hidden="1" customWidth="1"/>
    <col min="2587" max="2587" width="12.5703125" style="180" bestFit="1" customWidth="1"/>
    <col min="2588" max="2588" width="0" style="180" hidden="1" customWidth="1"/>
    <col min="2589" max="2802" width="8.85546875" style="180"/>
    <col min="2803" max="2803" width="1.7109375" style="180" customWidth="1"/>
    <col min="2804" max="2804" width="3" style="180" customWidth="1"/>
    <col min="2805" max="2806" width="1.85546875" style="180" customWidth="1"/>
    <col min="2807" max="2807" width="55.85546875" style="180" customWidth="1"/>
    <col min="2808" max="2808" width="4.7109375" style="180" customWidth="1"/>
    <col min="2809" max="2809" width="16.28515625" style="180" customWidth="1"/>
    <col min="2810" max="2818" width="0" style="180" hidden="1" customWidth="1"/>
    <col min="2819" max="2819" width="15.7109375" style="180" customWidth="1"/>
    <col min="2820" max="2821" width="0" style="180" hidden="1" customWidth="1"/>
    <col min="2822" max="2823" width="16.28515625" style="180" customWidth="1"/>
    <col min="2824" max="2832" width="0" style="180" hidden="1" customWidth="1"/>
    <col min="2833" max="2833" width="16.140625" style="180" customWidth="1"/>
    <col min="2834" max="2835" width="0" style="180" hidden="1" customWidth="1"/>
    <col min="2836" max="2836" width="16.28515625" style="180" customWidth="1"/>
    <col min="2837" max="2837" width="3" style="180" customWidth="1"/>
    <col min="2838" max="2838" width="1.7109375" style="180" customWidth="1"/>
    <col min="2839" max="2840" width="0" style="180" hidden="1" customWidth="1"/>
    <col min="2841" max="2841" width="9.85546875" style="180" customWidth="1"/>
    <col min="2842" max="2842" width="0" style="180" hidden="1" customWidth="1"/>
    <col min="2843" max="2843" width="12.5703125" style="180" bestFit="1" customWidth="1"/>
    <col min="2844" max="2844" width="0" style="180" hidden="1" customWidth="1"/>
    <col min="2845" max="3058" width="8.85546875" style="180"/>
    <col min="3059" max="3059" width="1.7109375" style="180" customWidth="1"/>
    <col min="3060" max="3060" width="3" style="180" customWidth="1"/>
    <col min="3061" max="3062" width="1.85546875" style="180" customWidth="1"/>
    <col min="3063" max="3063" width="55.85546875" style="180" customWidth="1"/>
    <col min="3064" max="3064" width="4.7109375" style="180" customWidth="1"/>
    <col min="3065" max="3065" width="16.28515625" style="180" customWidth="1"/>
    <col min="3066" max="3074" width="0" style="180" hidden="1" customWidth="1"/>
    <col min="3075" max="3075" width="15.7109375" style="180" customWidth="1"/>
    <col min="3076" max="3077" width="0" style="180" hidden="1" customWidth="1"/>
    <col min="3078" max="3079" width="16.28515625" style="180" customWidth="1"/>
    <col min="3080" max="3088" width="0" style="180" hidden="1" customWidth="1"/>
    <col min="3089" max="3089" width="16.140625" style="180" customWidth="1"/>
    <col min="3090" max="3091" width="0" style="180" hidden="1" customWidth="1"/>
    <col min="3092" max="3092" width="16.28515625" style="180" customWidth="1"/>
    <col min="3093" max="3093" width="3" style="180" customWidth="1"/>
    <col min="3094" max="3094" width="1.7109375" style="180" customWidth="1"/>
    <col min="3095" max="3096" width="0" style="180" hidden="1" customWidth="1"/>
    <col min="3097" max="3097" width="9.85546875" style="180" customWidth="1"/>
    <col min="3098" max="3098" width="0" style="180" hidden="1" customWidth="1"/>
    <col min="3099" max="3099" width="12.5703125" style="180" bestFit="1" customWidth="1"/>
    <col min="3100" max="3100" width="0" style="180" hidden="1" customWidth="1"/>
    <col min="3101" max="3314" width="8.85546875" style="180"/>
    <col min="3315" max="3315" width="1.7109375" style="180" customWidth="1"/>
    <col min="3316" max="3316" width="3" style="180" customWidth="1"/>
    <col min="3317" max="3318" width="1.85546875" style="180" customWidth="1"/>
    <col min="3319" max="3319" width="55.85546875" style="180" customWidth="1"/>
    <col min="3320" max="3320" width="4.7109375" style="180" customWidth="1"/>
    <col min="3321" max="3321" width="16.28515625" style="180" customWidth="1"/>
    <col min="3322" max="3330" width="0" style="180" hidden="1" customWidth="1"/>
    <col min="3331" max="3331" width="15.7109375" style="180" customWidth="1"/>
    <col min="3332" max="3333" width="0" style="180" hidden="1" customWidth="1"/>
    <col min="3334" max="3335" width="16.28515625" style="180" customWidth="1"/>
    <col min="3336" max="3344" width="0" style="180" hidden="1" customWidth="1"/>
    <col min="3345" max="3345" width="16.140625" style="180" customWidth="1"/>
    <col min="3346" max="3347" width="0" style="180" hidden="1" customWidth="1"/>
    <col min="3348" max="3348" width="16.28515625" style="180" customWidth="1"/>
    <col min="3349" max="3349" width="3" style="180" customWidth="1"/>
    <col min="3350" max="3350" width="1.7109375" style="180" customWidth="1"/>
    <col min="3351" max="3352" width="0" style="180" hidden="1" customWidth="1"/>
    <col min="3353" max="3353" width="9.85546875" style="180" customWidth="1"/>
    <col min="3354" max="3354" width="0" style="180" hidden="1" customWidth="1"/>
    <col min="3355" max="3355" width="12.5703125" style="180" bestFit="1" customWidth="1"/>
    <col min="3356" max="3356" width="0" style="180" hidden="1" customWidth="1"/>
    <col min="3357" max="3570" width="8.85546875" style="180"/>
    <col min="3571" max="3571" width="1.7109375" style="180" customWidth="1"/>
    <col min="3572" max="3572" width="3" style="180" customWidth="1"/>
    <col min="3573" max="3574" width="1.85546875" style="180" customWidth="1"/>
    <col min="3575" max="3575" width="55.85546875" style="180" customWidth="1"/>
    <col min="3576" max="3576" width="4.7109375" style="180" customWidth="1"/>
    <col min="3577" max="3577" width="16.28515625" style="180" customWidth="1"/>
    <col min="3578" max="3586" width="0" style="180" hidden="1" customWidth="1"/>
    <col min="3587" max="3587" width="15.7109375" style="180" customWidth="1"/>
    <col min="3588" max="3589" width="0" style="180" hidden="1" customWidth="1"/>
    <col min="3590" max="3591" width="16.28515625" style="180" customWidth="1"/>
    <col min="3592" max="3600" width="0" style="180" hidden="1" customWidth="1"/>
    <col min="3601" max="3601" width="16.140625" style="180" customWidth="1"/>
    <col min="3602" max="3603" width="0" style="180" hidden="1" customWidth="1"/>
    <col min="3604" max="3604" width="16.28515625" style="180" customWidth="1"/>
    <col min="3605" max="3605" width="3" style="180" customWidth="1"/>
    <col min="3606" max="3606" width="1.7109375" style="180" customWidth="1"/>
    <col min="3607" max="3608" width="0" style="180" hidden="1" customWidth="1"/>
    <col min="3609" max="3609" width="9.85546875" style="180" customWidth="1"/>
    <col min="3610" max="3610" width="0" style="180" hidden="1" customWidth="1"/>
    <col min="3611" max="3611" width="12.5703125" style="180" bestFit="1" customWidth="1"/>
    <col min="3612" max="3612" width="0" style="180" hidden="1" customWidth="1"/>
    <col min="3613" max="3826" width="8.85546875" style="180"/>
    <col min="3827" max="3827" width="1.7109375" style="180" customWidth="1"/>
    <col min="3828" max="3828" width="3" style="180" customWidth="1"/>
    <col min="3829" max="3830" width="1.85546875" style="180" customWidth="1"/>
    <col min="3831" max="3831" width="55.85546875" style="180" customWidth="1"/>
    <col min="3832" max="3832" width="4.7109375" style="180" customWidth="1"/>
    <col min="3833" max="3833" width="16.28515625" style="180" customWidth="1"/>
    <col min="3834" max="3842" width="0" style="180" hidden="1" customWidth="1"/>
    <col min="3843" max="3843" width="15.7109375" style="180" customWidth="1"/>
    <col min="3844" max="3845" width="0" style="180" hidden="1" customWidth="1"/>
    <col min="3846" max="3847" width="16.28515625" style="180" customWidth="1"/>
    <col min="3848" max="3856" width="0" style="180" hidden="1" customWidth="1"/>
    <col min="3857" max="3857" width="16.140625" style="180" customWidth="1"/>
    <col min="3858" max="3859" width="0" style="180" hidden="1" customWidth="1"/>
    <col min="3860" max="3860" width="16.28515625" style="180" customWidth="1"/>
    <col min="3861" max="3861" width="3" style="180" customWidth="1"/>
    <col min="3862" max="3862" width="1.7109375" style="180" customWidth="1"/>
    <col min="3863" max="3864" width="0" style="180" hidden="1" customWidth="1"/>
    <col min="3865" max="3865" width="9.85546875" style="180" customWidth="1"/>
    <col min="3866" max="3866" width="0" style="180" hidden="1" customWidth="1"/>
    <col min="3867" max="3867" width="12.5703125" style="180" bestFit="1" customWidth="1"/>
    <col min="3868" max="3868" width="0" style="180" hidden="1" customWidth="1"/>
    <col min="3869" max="4082" width="8.85546875" style="180"/>
    <col min="4083" max="4083" width="1.7109375" style="180" customWidth="1"/>
    <col min="4084" max="4084" width="3" style="180" customWidth="1"/>
    <col min="4085" max="4086" width="1.85546875" style="180" customWidth="1"/>
    <col min="4087" max="4087" width="55.85546875" style="180" customWidth="1"/>
    <col min="4088" max="4088" width="4.7109375" style="180" customWidth="1"/>
    <col min="4089" max="4089" width="16.28515625" style="180" customWidth="1"/>
    <col min="4090" max="4098" width="0" style="180" hidden="1" customWidth="1"/>
    <col min="4099" max="4099" width="15.7109375" style="180" customWidth="1"/>
    <col min="4100" max="4101" width="0" style="180" hidden="1" customWidth="1"/>
    <col min="4102" max="4103" width="16.28515625" style="180" customWidth="1"/>
    <col min="4104" max="4112" width="0" style="180" hidden="1" customWidth="1"/>
    <col min="4113" max="4113" width="16.140625" style="180" customWidth="1"/>
    <col min="4114" max="4115" width="0" style="180" hidden="1" customWidth="1"/>
    <col min="4116" max="4116" width="16.28515625" style="180" customWidth="1"/>
    <col min="4117" max="4117" width="3" style="180" customWidth="1"/>
    <col min="4118" max="4118" width="1.7109375" style="180" customWidth="1"/>
    <col min="4119" max="4120" width="0" style="180" hidden="1" customWidth="1"/>
    <col min="4121" max="4121" width="9.85546875" style="180" customWidth="1"/>
    <col min="4122" max="4122" width="0" style="180" hidden="1" customWidth="1"/>
    <col min="4123" max="4123" width="12.5703125" style="180" bestFit="1" customWidth="1"/>
    <col min="4124" max="4124" width="0" style="180" hidden="1" customWidth="1"/>
    <col min="4125" max="4338" width="8.85546875" style="180"/>
    <col min="4339" max="4339" width="1.7109375" style="180" customWidth="1"/>
    <col min="4340" max="4340" width="3" style="180" customWidth="1"/>
    <col min="4341" max="4342" width="1.85546875" style="180" customWidth="1"/>
    <col min="4343" max="4343" width="55.85546875" style="180" customWidth="1"/>
    <col min="4344" max="4344" width="4.7109375" style="180" customWidth="1"/>
    <col min="4345" max="4345" width="16.28515625" style="180" customWidth="1"/>
    <col min="4346" max="4354" width="0" style="180" hidden="1" customWidth="1"/>
    <col min="4355" max="4355" width="15.7109375" style="180" customWidth="1"/>
    <col min="4356" max="4357" width="0" style="180" hidden="1" customWidth="1"/>
    <col min="4358" max="4359" width="16.28515625" style="180" customWidth="1"/>
    <col min="4360" max="4368" width="0" style="180" hidden="1" customWidth="1"/>
    <col min="4369" max="4369" width="16.140625" style="180" customWidth="1"/>
    <col min="4370" max="4371" width="0" style="180" hidden="1" customWidth="1"/>
    <col min="4372" max="4372" width="16.28515625" style="180" customWidth="1"/>
    <col min="4373" max="4373" width="3" style="180" customWidth="1"/>
    <col min="4374" max="4374" width="1.7109375" style="180" customWidth="1"/>
    <col min="4375" max="4376" width="0" style="180" hidden="1" customWidth="1"/>
    <col min="4377" max="4377" width="9.85546875" style="180" customWidth="1"/>
    <col min="4378" max="4378" width="0" style="180" hidden="1" customWidth="1"/>
    <col min="4379" max="4379" width="12.5703125" style="180" bestFit="1" customWidth="1"/>
    <col min="4380" max="4380" width="0" style="180" hidden="1" customWidth="1"/>
    <col min="4381" max="4594" width="8.85546875" style="180"/>
    <col min="4595" max="4595" width="1.7109375" style="180" customWidth="1"/>
    <col min="4596" max="4596" width="3" style="180" customWidth="1"/>
    <col min="4597" max="4598" width="1.85546875" style="180" customWidth="1"/>
    <col min="4599" max="4599" width="55.85546875" style="180" customWidth="1"/>
    <col min="4600" max="4600" width="4.7109375" style="180" customWidth="1"/>
    <col min="4601" max="4601" width="16.28515625" style="180" customWidth="1"/>
    <col min="4602" max="4610" width="0" style="180" hidden="1" customWidth="1"/>
    <col min="4611" max="4611" width="15.7109375" style="180" customWidth="1"/>
    <col min="4612" max="4613" width="0" style="180" hidden="1" customWidth="1"/>
    <col min="4614" max="4615" width="16.28515625" style="180" customWidth="1"/>
    <col min="4616" max="4624" width="0" style="180" hidden="1" customWidth="1"/>
    <col min="4625" max="4625" width="16.140625" style="180" customWidth="1"/>
    <col min="4626" max="4627" width="0" style="180" hidden="1" customWidth="1"/>
    <col min="4628" max="4628" width="16.28515625" style="180" customWidth="1"/>
    <col min="4629" max="4629" width="3" style="180" customWidth="1"/>
    <col min="4630" max="4630" width="1.7109375" style="180" customWidth="1"/>
    <col min="4631" max="4632" width="0" style="180" hidden="1" customWidth="1"/>
    <col min="4633" max="4633" width="9.85546875" style="180" customWidth="1"/>
    <col min="4634" max="4634" width="0" style="180" hidden="1" customWidth="1"/>
    <col min="4635" max="4635" width="12.5703125" style="180" bestFit="1" customWidth="1"/>
    <col min="4636" max="4636" width="0" style="180" hidden="1" customWidth="1"/>
    <col min="4637" max="4850" width="8.85546875" style="180"/>
    <col min="4851" max="4851" width="1.7109375" style="180" customWidth="1"/>
    <col min="4852" max="4852" width="3" style="180" customWidth="1"/>
    <col min="4853" max="4854" width="1.85546875" style="180" customWidth="1"/>
    <col min="4855" max="4855" width="55.85546875" style="180" customWidth="1"/>
    <col min="4856" max="4856" width="4.7109375" style="180" customWidth="1"/>
    <col min="4857" max="4857" width="16.28515625" style="180" customWidth="1"/>
    <col min="4858" max="4866" width="0" style="180" hidden="1" customWidth="1"/>
    <col min="4867" max="4867" width="15.7109375" style="180" customWidth="1"/>
    <col min="4868" max="4869" width="0" style="180" hidden="1" customWidth="1"/>
    <col min="4870" max="4871" width="16.28515625" style="180" customWidth="1"/>
    <col min="4872" max="4880" width="0" style="180" hidden="1" customWidth="1"/>
    <col min="4881" max="4881" width="16.140625" style="180" customWidth="1"/>
    <col min="4882" max="4883" width="0" style="180" hidden="1" customWidth="1"/>
    <col min="4884" max="4884" width="16.28515625" style="180" customWidth="1"/>
    <col min="4885" max="4885" width="3" style="180" customWidth="1"/>
    <col min="4886" max="4886" width="1.7109375" style="180" customWidth="1"/>
    <col min="4887" max="4888" width="0" style="180" hidden="1" customWidth="1"/>
    <col min="4889" max="4889" width="9.85546875" style="180" customWidth="1"/>
    <col min="4890" max="4890" width="0" style="180" hidden="1" customWidth="1"/>
    <col min="4891" max="4891" width="12.5703125" style="180" bestFit="1" customWidth="1"/>
    <col min="4892" max="4892" width="0" style="180" hidden="1" customWidth="1"/>
    <col min="4893" max="5106" width="8.85546875" style="180"/>
    <col min="5107" max="5107" width="1.7109375" style="180" customWidth="1"/>
    <col min="5108" max="5108" width="3" style="180" customWidth="1"/>
    <col min="5109" max="5110" width="1.85546875" style="180" customWidth="1"/>
    <col min="5111" max="5111" width="55.85546875" style="180" customWidth="1"/>
    <col min="5112" max="5112" width="4.7109375" style="180" customWidth="1"/>
    <col min="5113" max="5113" width="16.28515625" style="180" customWidth="1"/>
    <col min="5114" max="5122" width="0" style="180" hidden="1" customWidth="1"/>
    <col min="5123" max="5123" width="15.7109375" style="180" customWidth="1"/>
    <col min="5124" max="5125" width="0" style="180" hidden="1" customWidth="1"/>
    <col min="5126" max="5127" width="16.28515625" style="180" customWidth="1"/>
    <col min="5128" max="5136" width="0" style="180" hidden="1" customWidth="1"/>
    <col min="5137" max="5137" width="16.140625" style="180" customWidth="1"/>
    <col min="5138" max="5139" width="0" style="180" hidden="1" customWidth="1"/>
    <col min="5140" max="5140" width="16.28515625" style="180" customWidth="1"/>
    <col min="5141" max="5141" width="3" style="180" customWidth="1"/>
    <col min="5142" max="5142" width="1.7109375" style="180" customWidth="1"/>
    <col min="5143" max="5144" width="0" style="180" hidden="1" customWidth="1"/>
    <col min="5145" max="5145" width="9.85546875" style="180" customWidth="1"/>
    <col min="5146" max="5146" width="0" style="180" hidden="1" customWidth="1"/>
    <col min="5147" max="5147" width="12.5703125" style="180" bestFit="1" customWidth="1"/>
    <col min="5148" max="5148" width="0" style="180" hidden="1" customWidth="1"/>
    <col min="5149" max="5362" width="8.85546875" style="180"/>
    <col min="5363" max="5363" width="1.7109375" style="180" customWidth="1"/>
    <col min="5364" max="5364" width="3" style="180" customWidth="1"/>
    <col min="5365" max="5366" width="1.85546875" style="180" customWidth="1"/>
    <col min="5367" max="5367" width="55.85546875" style="180" customWidth="1"/>
    <col min="5368" max="5368" width="4.7109375" style="180" customWidth="1"/>
    <col min="5369" max="5369" width="16.28515625" style="180" customWidth="1"/>
    <col min="5370" max="5378" width="0" style="180" hidden="1" customWidth="1"/>
    <col min="5379" max="5379" width="15.7109375" style="180" customWidth="1"/>
    <col min="5380" max="5381" width="0" style="180" hidden="1" customWidth="1"/>
    <col min="5382" max="5383" width="16.28515625" style="180" customWidth="1"/>
    <col min="5384" max="5392" width="0" style="180" hidden="1" customWidth="1"/>
    <col min="5393" max="5393" width="16.140625" style="180" customWidth="1"/>
    <col min="5394" max="5395" width="0" style="180" hidden="1" customWidth="1"/>
    <col min="5396" max="5396" width="16.28515625" style="180" customWidth="1"/>
    <col min="5397" max="5397" width="3" style="180" customWidth="1"/>
    <col min="5398" max="5398" width="1.7109375" style="180" customWidth="1"/>
    <col min="5399" max="5400" width="0" style="180" hidden="1" customWidth="1"/>
    <col min="5401" max="5401" width="9.85546875" style="180" customWidth="1"/>
    <col min="5402" max="5402" width="0" style="180" hidden="1" customWidth="1"/>
    <col min="5403" max="5403" width="12.5703125" style="180" bestFit="1" customWidth="1"/>
    <col min="5404" max="5404" width="0" style="180" hidden="1" customWidth="1"/>
    <col min="5405" max="5618" width="8.85546875" style="180"/>
    <col min="5619" max="5619" width="1.7109375" style="180" customWidth="1"/>
    <col min="5620" max="5620" width="3" style="180" customWidth="1"/>
    <col min="5621" max="5622" width="1.85546875" style="180" customWidth="1"/>
    <col min="5623" max="5623" width="55.85546875" style="180" customWidth="1"/>
    <col min="5624" max="5624" width="4.7109375" style="180" customWidth="1"/>
    <col min="5625" max="5625" width="16.28515625" style="180" customWidth="1"/>
    <col min="5626" max="5634" width="0" style="180" hidden="1" customWidth="1"/>
    <col min="5635" max="5635" width="15.7109375" style="180" customWidth="1"/>
    <col min="5636" max="5637" width="0" style="180" hidden="1" customWidth="1"/>
    <col min="5638" max="5639" width="16.28515625" style="180" customWidth="1"/>
    <col min="5640" max="5648" width="0" style="180" hidden="1" customWidth="1"/>
    <col min="5649" max="5649" width="16.140625" style="180" customWidth="1"/>
    <col min="5650" max="5651" width="0" style="180" hidden="1" customWidth="1"/>
    <col min="5652" max="5652" width="16.28515625" style="180" customWidth="1"/>
    <col min="5653" max="5653" width="3" style="180" customWidth="1"/>
    <col min="5654" max="5654" width="1.7109375" style="180" customWidth="1"/>
    <col min="5655" max="5656" width="0" style="180" hidden="1" customWidth="1"/>
    <col min="5657" max="5657" width="9.85546875" style="180" customWidth="1"/>
    <col min="5658" max="5658" width="0" style="180" hidden="1" customWidth="1"/>
    <col min="5659" max="5659" width="12.5703125" style="180" bestFit="1" customWidth="1"/>
    <col min="5660" max="5660" width="0" style="180" hidden="1" customWidth="1"/>
    <col min="5661" max="5874" width="8.85546875" style="180"/>
    <col min="5875" max="5875" width="1.7109375" style="180" customWidth="1"/>
    <col min="5876" max="5876" width="3" style="180" customWidth="1"/>
    <col min="5877" max="5878" width="1.85546875" style="180" customWidth="1"/>
    <col min="5879" max="5879" width="55.85546875" style="180" customWidth="1"/>
    <col min="5880" max="5880" width="4.7109375" style="180" customWidth="1"/>
    <col min="5881" max="5881" width="16.28515625" style="180" customWidth="1"/>
    <col min="5882" max="5890" width="0" style="180" hidden="1" customWidth="1"/>
    <col min="5891" max="5891" width="15.7109375" style="180" customWidth="1"/>
    <col min="5892" max="5893" width="0" style="180" hidden="1" customWidth="1"/>
    <col min="5894" max="5895" width="16.28515625" style="180" customWidth="1"/>
    <col min="5896" max="5904" width="0" style="180" hidden="1" customWidth="1"/>
    <col min="5905" max="5905" width="16.140625" style="180" customWidth="1"/>
    <col min="5906" max="5907" width="0" style="180" hidden="1" customWidth="1"/>
    <col min="5908" max="5908" width="16.28515625" style="180" customWidth="1"/>
    <col min="5909" max="5909" width="3" style="180" customWidth="1"/>
    <col min="5910" max="5910" width="1.7109375" style="180" customWidth="1"/>
    <col min="5911" max="5912" width="0" style="180" hidden="1" customWidth="1"/>
    <col min="5913" max="5913" width="9.85546875" style="180" customWidth="1"/>
    <col min="5914" max="5914" width="0" style="180" hidden="1" customWidth="1"/>
    <col min="5915" max="5915" width="12.5703125" style="180" bestFit="1" customWidth="1"/>
    <col min="5916" max="5916" width="0" style="180" hidden="1" customWidth="1"/>
    <col min="5917" max="6130" width="8.85546875" style="180"/>
    <col min="6131" max="6131" width="1.7109375" style="180" customWidth="1"/>
    <col min="6132" max="6132" width="3" style="180" customWidth="1"/>
    <col min="6133" max="6134" width="1.85546875" style="180" customWidth="1"/>
    <col min="6135" max="6135" width="55.85546875" style="180" customWidth="1"/>
    <col min="6136" max="6136" width="4.7109375" style="180" customWidth="1"/>
    <col min="6137" max="6137" width="16.28515625" style="180" customWidth="1"/>
    <col min="6138" max="6146" width="0" style="180" hidden="1" customWidth="1"/>
    <col min="6147" max="6147" width="15.7109375" style="180" customWidth="1"/>
    <col min="6148" max="6149" width="0" style="180" hidden="1" customWidth="1"/>
    <col min="6150" max="6151" width="16.28515625" style="180" customWidth="1"/>
    <col min="6152" max="6160" width="0" style="180" hidden="1" customWidth="1"/>
    <col min="6161" max="6161" width="16.140625" style="180" customWidth="1"/>
    <col min="6162" max="6163" width="0" style="180" hidden="1" customWidth="1"/>
    <col min="6164" max="6164" width="16.28515625" style="180" customWidth="1"/>
    <col min="6165" max="6165" width="3" style="180" customWidth="1"/>
    <col min="6166" max="6166" width="1.7109375" style="180" customWidth="1"/>
    <col min="6167" max="6168" width="0" style="180" hidden="1" customWidth="1"/>
    <col min="6169" max="6169" width="9.85546875" style="180" customWidth="1"/>
    <col min="6170" max="6170" width="0" style="180" hidden="1" customWidth="1"/>
    <col min="6171" max="6171" width="12.5703125" style="180" bestFit="1" customWidth="1"/>
    <col min="6172" max="6172" width="0" style="180" hidden="1" customWidth="1"/>
    <col min="6173" max="6386" width="8.85546875" style="180"/>
    <col min="6387" max="6387" width="1.7109375" style="180" customWidth="1"/>
    <col min="6388" max="6388" width="3" style="180" customWidth="1"/>
    <col min="6389" max="6390" width="1.85546875" style="180" customWidth="1"/>
    <col min="6391" max="6391" width="55.85546875" style="180" customWidth="1"/>
    <col min="6392" max="6392" width="4.7109375" style="180" customWidth="1"/>
    <col min="6393" max="6393" width="16.28515625" style="180" customWidth="1"/>
    <col min="6394" max="6402" width="0" style="180" hidden="1" customWidth="1"/>
    <col min="6403" max="6403" width="15.7109375" style="180" customWidth="1"/>
    <col min="6404" max="6405" width="0" style="180" hidden="1" customWidth="1"/>
    <col min="6406" max="6407" width="16.28515625" style="180" customWidth="1"/>
    <col min="6408" max="6416" width="0" style="180" hidden="1" customWidth="1"/>
    <col min="6417" max="6417" width="16.140625" style="180" customWidth="1"/>
    <col min="6418" max="6419" width="0" style="180" hidden="1" customWidth="1"/>
    <col min="6420" max="6420" width="16.28515625" style="180" customWidth="1"/>
    <col min="6421" max="6421" width="3" style="180" customWidth="1"/>
    <col min="6422" max="6422" width="1.7109375" style="180" customWidth="1"/>
    <col min="6423" max="6424" width="0" style="180" hidden="1" customWidth="1"/>
    <col min="6425" max="6425" width="9.85546875" style="180" customWidth="1"/>
    <col min="6426" max="6426" width="0" style="180" hidden="1" customWidth="1"/>
    <col min="6427" max="6427" width="12.5703125" style="180" bestFit="1" customWidth="1"/>
    <col min="6428" max="6428" width="0" style="180" hidden="1" customWidth="1"/>
    <col min="6429" max="6642" width="8.85546875" style="180"/>
    <col min="6643" max="6643" width="1.7109375" style="180" customWidth="1"/>
    <col min="6644" max="6644" width="3" style="180" customWidth="1"/>
    <col min="6645" max="6646" width="1.85546875" style="180" customWidth="1"/>
    <col min="6647" max="6647" width="55.85546875" style="180" customWidth="1"/>
    <col min="6648" max="6648" width="4.7109375" style="180" customWidth="1"/>
    <col min="6649" max="6649" width="16.28515625" style="180" customWidth="1"/>
    <col min="6650" max="6658" width="0" style="180" hidden="1" customWidth="1"/>
    <col min="6659" max="6659" width="15.7109375" style="180" customWidth="1"/>
    <col min="6660" max="6661" width="0" style="180" hidden="1" customWidth="1"/>
    <col min="6662" max="6663" width="16.28515625" style="180" customWidth="1"/>
    <col min="6664" max="6672" width="0" style="180" hidden="1" customWidth="1"/>
    <col min="6673" max="6673" width="16.140625" style="180" customWidth="1"/>
    <col min="6674" max="6675" width="0" style="180" hidden="1" customWidth="1"/>
    <col min="6676" max="6676" width="16.28515625" style="180" customWidth="1"/>
    <col min="6677" max="6677" width="3" style="180" customWidth="1"/>
    <col min="6678" max="6678" width="1.7109375" style="180" customWidth="1"/>
    <col min="6679" max="6680" width="0" style="180" hidden="1" customWidth="1"/>
    <col min="6681" max="6681" width="9.85546875" style="180" customWidth="1"/>
    <col min="6682" max="6682" width="0" style="180" hidden="1" customWidth="1"/>
    <col min="6683" max="6683" width="12.5703125" style="180" bestFit="1" customWidth="1"/>
    <col min="6684" max="6684" width="0" style="180" hidden="1" customWidth="1"/>
    <col min="6685" max="6898" width="8.85546875" style="180"/>
    <col min="6899" max="6899" width="1.7109375" style="180" customWidth="1"/>
    <col min="6900" max="6900" width="3" style="180" customWidth="1"/>
    <col min="6901" max="6902" width="1.85546875" style="180" customWidth="1"/>
    <col min="6903" max="6903" width="55.85546875" style="180" customWidth="1"/>
    <col min="6904" max="6904" width="4.7109375" style="180" customWidth="1"/>
    <col min="6905" max="6905" width="16.28515625" style="180" customWidth="1"/>
    <col min="6906" max="6914" width="0" style="180" hidden="1" customWidth="1"/>
    <col min="6915" max="6915" width="15.7109375" style="180" customWidth="1"/>
    <col min="6916" max="6917" width="0" style="180" hidden="1" customWidth="1"/>
    <col min="6918" max="6919" width="16.28515625" style="180" customWidth="1"/>
    <col min="6920" max="6928" width="0" style="180" hidden="1" customWidth="1"/>
    <col min="6929" max="6929" width="16.140625" style="180" customWidth="1"/>
    <col min="6930" max="6931" width="0" style="180" hidden="1" customWidth="1"/>
    <col min="6932" max="6932" width="16.28515625" style="180" customWidth="1"/>
    <col min="6933" max="6933" width="3" style="180" customWidth="1"/>
    <col min="6934" max="6934" width="1.7109375" style="180" customWidth="1"/>
    <col min="6935" max="6936" width="0" style="180" hidden="1" customWidth="1"/>
    <col min="6937" max="6937" width="9.85546875" style="180" customWidth="1"/>
    <col min="6938" max="6938" width="0" style="180" hidden="1" customWidth="1"/>
    <col min="6939" max="6939" width="12.5703125" style="180" bestFit="1" customWidth="1"/>
    <col min="6940" max="6940" width="0" style="180" hidden="1" customWidth="1"/>
    <col min="6941" max="7154" width="8.85546875" style="180"/>
    <col min="7155" max="7155" width="1.7109375" style="180" customWidth="1"/>
    <col min="7156" max="7156" width="3" style="180" customWidth="1"/>
    <col min="7157" max="7158" width="1.85546875" style="180" customWidth="1"/>
    <col min="7159" max="7159" width="55.85546875" style="180" customWidth="1"/>
    <col min="7160" max="7160" width="4.7109375" style="180" customWidth="1"/>
    <col min="7161" max="7161" width="16.28515625" style="180" customWidth="1"/>
    <col min="7162" max="7170" width="0" style="180" hidden="1" customWidth="1"/>
    <col min="7171" max="7171" width="15.7109375" style="180" customWidth="1"/>
    <col min="7172" max="7173" width="0" style="180" hidden="1" customWidth="1"/>
    <col min="7174" max="7175" width="16.28515625" style="180" customWidth="1"/>
    <col min="7176" max="7184" width="0" style="180" hidden="1" customWidth="1"/>
    <col min="7185" max="7185" width="16.140625" style="180" customWidth="1"/>
    <col min="7186" max="7187" width="0" style="180" hidden="1" customWidth="1"/>
    <col min="7188" max="7188" width="16.28515625" style="180" customWidth="1"/>
    <col min="7189" max="7189" width="3" style="180" customWidth="1"/>
    <col min="7190" max="7190" width="1.7109375" style="180" customWidth="1"/>
    <col min="7191" max="7192" width="0" style="180" hidden="1" customWidth="1"/>
    <col min="7193" max="7193" width="9.85546875" style="180" customWidth="1"/>
    <col min="7194" max="7194" width="0" style="180" hidden="1" customWidth="1"/>
    <col min="7195" max="7195" width="12.5703125" style="180" bestFit="1" customWidth="1"/>
    <col min="7196" max="7196" width="0" style="180" hidden="1" customWidth="1"/>
    <col min="7197" max="7410" width="8.85546875" style="180"/>
    <col min="7411" max="7411" width="1.7109375" style="180" customWidth="1"/>
    <col min="7412" max="7412" width="3" style="180" customWidth="1"/>
    <col min="7413" max="7414" width="1.85546875" style="180" customWidth="1"/>
    <col min="7415" max="7415" width="55.85546875" style="180" customWidth="1"/>
    <col min="7416" max="7416" width="4.7109375" style="180" customWidth="1"/>
    <col min="7417" max="7417" width="16.28515625" style="180" customWidth="1"/>
    <col min="7418" max="7426" width="0" style="180" hidden="1" customWidth="1"/>
    <col min="7427" max="7427" width="15.7109375" style="180" customWidth="1"/>
    <col min="7428" max="7429" width="0" style="180" hidden="1" customWidth="1"/>
    <col min="7430" max="7431" width="16.28515625" style="180" customWidth="1"/>
    <col min="7432" max="7440" width="0" style="180" hidden="1" customWidth="1"/>
    <col min="7441" max="7441" width="16.140625" style="180" customWidth="1"/>
    <col min="7442" max="7443" width="0" style="180" hidden="1" customWidth="1"/>
    <col min="7444" max="7444" width="16.28515625" style="180" customWidth="1"/>
    <col min="7445" max="7445" width="3" style="180" customWidth="1"/>
    <col min="7446" max="7446" width="1.7109375" style="180" customWidth="1"/>
    <col min="7447" max="7448" width="0" style="180" hidden="1" customWidth="1"/>
    <col min="7449" max="7449" width="9.85546875" style="180" customWidth="1"/>
    <col min="7450" max="7450" width="0" style="180" hidden="1" customWidth="1"/>
    <col min="7451" max="7451" width="12.5703125" style="180" bestFit="1" customWidth="1"/>
    <col min="7452" max="7452" width="0" style="180" hidden="1" customWidth="1"/>
    <col min="7453" max="7666" width="8.85546875" style="180"/>
    <col min="7667" max="7667" width="1.7109375" style="180" customWidth="1"/>
    <col min="7668" max="7668" width="3" style="180" customWidth="1"/>
    <col min="7669" max="7670" width="1.85546875" style="180" customWidth="1"/>
    <col min="7671" max="7671" width="55.85546875" style="180" customWidth="1"/>
    <col min="7672" max="7672" width="4.7109375" style="180" customWidth="1"/>
    <col min="7673" max="7673" width="16.28515625" style="180" customWidth="1"/>
    <col min="7674" max="7682" width="0" style="180" hidden="1" customWidth="1"/>
    <col min="7683" max="7683" width="15.7109375" style="180" customWidth="1"/>
    <col min="7684" max="7685" width="0" style="180" hidden="1" customWidth="1"/>
    <col min="7686" max="7687" width="16.28515625" style="180" customWidth="1"/>
    <col min="7688" max="7696" width="0" style="180" hidden="1" customWidth="1"/>
    <col min="7697" max="7697" width="16.140625" style="180" customWidth="1"/>
    <col min="7698" max="7699" width="0" style="180" hidden="1" customWidth="1"/>
    <col min="7700" max="7700" width="16.28515625" style="180" customWidth="1"/>
    <col min="7701" max="7701" width="3" style="180" customWidth="1"/>
    <col min="7702" max="7702" width="1.7109375" style="180" customWidth="1"/>
    <col min="7703" max="7704" width="0" style="180" hidden="1" customWidth="1"/>
    <col min="7705" max="7705" width="9.85546875" style="180" customWidth="1"/>
    <col min="7706" max="7706" width="0" style="180" hidden="1" customWidth="1"/>
    <col min="7707" max="7707" width="12.5703125" style="180" bestFit="1" customWidth="1"/>
    <col min="7708" max="7708" width="0" style="180" hidden="1" customWidth="1"/>
    <col min="7709" max="7922" width="8.85546875" style="180"/>
    <col min="7923" max="7923" width="1.7109375" style="180" customWidth="1"/>
    <col min="7924" max="7924" width="3" style="180" customWidth="1"/>
    <col min="7925" max="7926" width="1.85546875" style="180" customWidth="1"/>
    <col min="7927" max="7927" width="55.85546875" style="180" customWidth="1"/>
    <col min="7928" max="7928" width="4.7109375" style="180" customWidth="1"/>
    <col min="7929" max="7929" width="16.28515625" style="180" customWidth="1"/>
    <col min="7930" max="7938" width="0" style="180" hidden="1" customWidth="1"/>
    <col min="7939" max="7939" width="15.7109375" style="180" customWidth="1"/>
    <col min="7940" max="7941" width="0" style="180" hidden="1" customWidth="1"/>
    <col min="7942" max="7943" width="16.28515625" style="180" customWidth="1"/>
    <col min="7944" max="7952" width="0" style="180" hidden="1" customWidth="1"/>
    <col min="7953" max="7953" width="16.140625" style="180" customWidth="1"/>
    <col min="7954" max="7955" width="0" style="180" hidden="1" customWidth="1"/>
    <col min="7956" max="7956" width="16.28515625" style="180" customWidth="1"/>
    <col min="7957" max="7957" width="3" style="180" customWidth="1"/>
    <col min="7958" max="7958" width="1.7109375" style="180" customWidth="1"/>
    <col min="7959" max="7960" width="0" style="180" hidden="1" customWidth="1"/>
    <col min="7961" max="7961" width="9.85546875" style="180" customWidth="1"/>
    <col min="7962" max="7962" width="0" style="180" hidden="1" customWidth="1"/>
    <col min="7963" max="7963" width="12.5703125" style="180" bestFit="1" customWidth="1"/>
    <col min="7964" max="7964" width="0" style="180" hidden="1" customWidth="1"/>
    <col min="7965" max="8178" width="8.85546875" style="180"/>
    <col min="8179" max="8179" width="1.7109375" style="180" customWidth="1"/>
    <col min="8180" max="8180" width="3" style="180" customWidth="1"/>
    <col min="8181" max="8182" width="1.85546875" style="180" customWidth="1"/>
    <col min="8183" max="8183" width="55.85546875" style="180" customWidth="1"/>
    <col min="8184" max="8184" width="4.7109375" style="180" customWidth="1"/>
    <col min="8185" max="8185" width="16.28515625" style="180" customWidth="1"/>
    <col min="8186" max="8194" width="0" style="180" hidden="1" customWidth="1"/>
    <col min="8195" max="8195" width="15.7109375" style="180" customWidth="1"/>
    <col min="8196" max="8197" width="0" style="180" hidden="1" customWidth="1"/>
    <col min="8198" max="8199" width="16.28515625" style="180" customWidth="1"/>
    <col min="8200" max="8208" width="0" style="180" hidden="1" customWidth="1"/>
    <col min="8209" max="8209" width="16.140625" style="180" customWidth="1"/>
    <col min="8210" max="8211" width="0" style="180" hidden="1" customWidth="1"/>
    <col min="8212" max="8212" width="16.28515625" style="180" customWidth="1"/>
    <col min="8213" max="8213" width="3" style="180" customWidth="1"/>
    <col min="8214" max="8214" width="1.7109375" style="180" customWidth="1"/>
    <col min="8215" max="8216" width="0" style="180" hidden="1" customWidth="1"/>
    <col min="8217" max="8217" width="9.85546875" style="180" customWidth="1"/>
    <col min="8218" max="8218" width="0" style="180" hidden="1" customWidth="1"/>
    <col min="8219" max="8219" width="12.5703125" style="180" bestFit="1" customWidth="1"/>
    <col min="8220" max="8220" width="0" style="180" hidden="1" customWidth="1"/>
    <col min="8221" max="8434" width="8.85546875" style="180"/>
    <col min="8435" max="8435" width="1.7109375" style="180" customWidth="1"/>
    <col min="8436" max="8436" width="3" style="180" customWidth="1"/>
    <col min="8437" max="8438" width="1.85546875" style="180" customWidth="1"/>
    <col min="8439" max="8439" width="55.85546875" style="180" customWidth="1"/>
    <col min="8440" max="8440" width="4.7109375" style="180" customWidth="1"/>
    <col min="8441" max="8441" width="16.28515625" style="180" customWidth="1"/>
    <col min="8442" max="8450" width="0" style="180" hidden="1" customWidth="1"/>
    <col min="8451" max="8451" width="15.7109375" style="180" customWidth="1"/>
    <col min="8452" max="8453" width="0" style="180" hidden="1" customWidth="1"/>
    <col min="8454" max="8455" width="16.28515625" style="180" customWidth="1"/>
    <col min="8456" max="8464" width="0" style="180" hidden="1" customWidth="1"/>
    <col min="8465" max="8465" width="16.140625" style="180" customWidth="1"/>
    <col min="8466" max="8467" width="0" style="180" hidden="1" customWidth="1"/>
    <col min="8468" max="8468" width="16.28515625" style="180" customWidth="1"/>
    <col min="8469" max="8469" width="3" style="180" customWidth="1"/>
    <col min="8470" max="8470" width="1.7109375" style="180" customWidth="1"/>
    <col min="8471" max="8472" width="0" style="180" hidden="1" customWidth="1"/>
    <col min="8473" max="8473" width="9.85546875" style="180" customWidth="1"/>
    <col min="8474" max="8474" width="0" style="180" hidden="1" customWidth="1"/>
    <col min="8475" max="8475" width="12.5703125" style="180" bestFit="1" customWidth="1"/>
    <col min="8476" max="8476" width="0" style="180" hidden="1" customWidth="1"/>
    <col min="8477" max="8690" width="8.85546875" style="180"/>
    <col min="8691" max="8691" width="1.7109375" style="180" customWidth="1"/>
    <col min="8692" max="8692" width="3" style="180" customWidth="1"/>
    <col min="8693" max="8694" width="1.85546875" style="180" customWidth="1"/>
    <col min="8695" max="8695" width="55.85546875" style="180" customWidth="1"/>
    <col min="8696" max="8696" width="4.7109375" style="180" customWidth="1"/>
    <col min="8697" max="8697" width="16.28515625" style="180" customWidth="1"/>
    <col min="8698" max="8706" width="0" style="180" hidden="1" customWidth="1"/>
    <col min="8707" max="8707" width="15.7109375" style="180" customWidth="1"/>
    <col min="8708" max="8709" width="0" style="180" hidden="1" customWidth="1"/>
    <col min="8710" max="8711" width="16.28515625" style="180" customWidth="1"/>
    <col min="8712" max="8720" width="0" style="180" hidden="1" customWidth="1"/>
    <col min="8721" max="8721" width="16.140625" style="180" customWidth="1"/>
    <col min="8722" max="8723" width="0" style="180" hidden="1" customWidth="1"/>
    <col min="8724" max="8724" width="16.28515625" style="180" customWidth="1"/>
    <col min="8725" max="8725" width="3" style="180" customWidth="1"/>
    <col min="8726" max="8726" width="1.7109375" style="180" customWidth="1"/>
    <col min="8727" max="8728" width="0" style="180" hidden="1" customWidth="1"/>
    <col min="8729" max="8729" width="9.85546875" style="180" customWidth="1"/>
    <col min="8730" max="8730" width="0" style="180" hidden="1" customWidth="1"/>
    <col min="8731" max="8731" width="12.5703125" style="180" bestFit="1" customWidth="1"/>
    <col min="8732" max="8732" width="0" style="180" hidden="1" customWidth="1"/>
    <col min="8733" max="8946" width="8.85546875" style="180"/>
    <col min="8947" max="8947" width="1.7109375" style="180" customWidth="1"/>
    <col min="8948" max="8948" width="3" style="180" customWidth="1"/>
    <col min="8949" max="8950" width="1.85546875" style="180" customWidth="1"/>
    <col min="8951" max="8951" width="55.85546875" style="180" customWidth="1"/>
    <col min="8952" max="8952" width="4.7109375" style="180" customWidth="1"/>
    <col min="8953" max="8953" width="16.28515625" style="180" customWidth="1"/>
    <col min="8954" max="8962" width="0" style="180" hidden="1" customWidth="1"/>
    <col min="8963" max="8963" width="15.7109375" style="180" customWidth="1"/>
    <col min="8964" max="8965" width="0" style="180" hidden="1" customWidth="1"/>
    <col min="8966" max="8967" width="16.28515625" style="180" customWidth="1"/>
    <col min="8968" max="8976" width="0" style="180" hidden="1" customWidth="1"/>
    <col min="8977" max="8977" width="16.140625" style="180" customWidth="1"/>
    <col min="8978" max="8979" width="0" style="180" hidden="1" customWidth="1"/>
    <col min="8980" max="8980" width="16.28515625" style="180" customWidth="1"/>
    <col min="8981" max="8981" width="3" style="180" customWidth="1"/>
    <col min="8982" max="8982" width="1.7109375" style="180" customWidth="1"/>
    <col min="8983" max="8984" width="0" style="180" hidden="1" customWidth="1"/>
    <col min="8985" max="8985" width="9.85546875" style="180" customWidth="1"/>
    <col min="8986" max="8986" width="0" style="180" hidden="1" customWidth="1"/>
    <col min="8987" max="8987" width="12.5703125" style="180" bestFit="1" customWidth="1"/>
    <col min="8988" max="8988" width="0" style="180" hidden="1" customWidth="1"/>
    <col min="8989" max="9202" width="8.85546875" style="180"/>
    <col min="9203" max="9203" width="1.7109375" style="180" customWidth="1"/>
    <col min="9204" max="9204" width="3" style="180" customWidth="1"/>
    <col min="9205" max="9206" width="1.85546875" style="180" customWidth="1"/>
    <col min="9207" max="9207" width="55.85546875" style="180" customWidth="1"/>
    <col min="9208" max="9208" width="4.7109375" style="180" customWidth="1"/>
    <col min="9209" max="9209" width="16.28515625" style="180" customWidth="1"/>
    <col min="9210" max="9218" width="0" style="180" hidden="1" customWidth="1"/>
    <col min="9219" max="9219" width="15.7109375" style="180" customWidth="1"/>
    <col min="9220" max="9221" width="0" style="180" hidden="1" customWidth="1"/>
    <col min="9222" max="9223" width="16.28515625" style="180" customWidth="1"/>
    <col min="9224" max="9232" width="0" style="180" hidden="1" customWidth="1"/>
    <col min="9233" max="9233" width="16.140625" style="180" customWidth="1"/>
    <col min="9234" max="9235" width="0" style="180" hidden="1" customWidth="1"/>
    <col min="9236" max="9236" width="16.28515625" style="180" customWidth="1"/>
    <col min="9237" max="9237" width="3" style="180" customWidth="1"/>
    <col min="9238" max="9238" width="1.7109375" style="180" customWidth="1"/>
    <col min="9239" max="9240" width="0" style="180" hidden="1" customWidth="1"/>
    <col min="9241" max="9241" width="9.85546875" style="180" customWidth="1"/>
    <col min="9242" max="9242" width="0" style="180" hidden="1" customWidth="1"/>
    <col min="9243" max="9243" width="12.5703125" style="180" bestFit="1" customWidth="1"/>
    <col min="9244" max="9244" width="0" style="180" hidden="1" customWidth="1"/>
    <col min="9245" max="9458" width="8.85546875" style="180"/>
    <col min="9459" max="9459" width="1.7109375" style="180" customWidth="1"/>
    <col min="9460" max="9460" width="3" style="180" customWidth="1"/>
    <col min="9461" max="9462" width="1.85546875" style="180" customWidth="1"/>
    <col min="9463" max="9463" width="55.85546875" style="180" customWidth="1"/>
    <col min="9464" max="9464" width="4.7109375" style="180" customWidth="1"/>
    <col min="9465" max="9465" width="16.28515625" style="180" customWidth="1"/>
    <col min="9466" max="9474" width="0" style="180" hidden="1" customWidth="1"/>
    <col min="9475" max="9475" width="15.7109375" style="180" customWidth="1"/>
    <col min="9476" max="9477" width="0" style="180" hidden="1" customWidth="1"/>
    <col min="9478" max="9479" width="16.28515625" style="180" customWidth="1"/>
    <col min="9480" max="9488" width="0" style="180" hidden="1" customWidth="1"/>
    <col min="9489" max="9489" width="16.140625" style="180" customWidth="1"/>
    <col min="9490" max="9491" width="0" style="180" hidden="1" customWidth="1"/>
    <col min="9492" max="9492" width="16.28515625" style="180" customWidth="1"/>
    <col min="9493" max="9493" width="3" style="180" customWidth="1"/>
    <col min="9494" max="9494" width="1.7109375" style="180" customWidth="1"/>
    <col min="9495" max="9496" width="0" style="180" hidden="1" customWidth="1"/>
    <col min="9497" max="9497" width="9.85546875" style="180" customWidth="1"/>
    <col min="9498" max="9498" width="0" style="180" hidden="1" customWidth="1"/>
    <col min="9499" max="9499" width="12.5703125" style="180" bestFit="1" customWidth="1"/>
    <col min="9500" max="9500" width="0" style="180" hidden="1" customWidth="1"/>
    <col min="9501" max="9714" width="8.85546875" style="180"/>
    <col min="9715" max="9715" width="1.7109375" style="180" customWidth="1"/>
    <col min="9716" max="9716" width="3" style="180" customWidth="1"/>
    <col min="9717" max="9718" width="1.85546875" style="180" customWidth="1"/>
    <col min="9719" max="9719" width="55.85546875" style="180" customWidth="1"/>
    <col min="9720" max="9720" width="4.7109375" style="180" customWidth="1"/>
    <col min="9721" max="9721" width="16.28515625" style="180" customWidth="1"/>
    <col min="9722" max="9730" width="0" style="180" hidden="1" customWidth="1"/>
    <col min="9731" max="9731" width="15.7109375" style="180" customWidth="1"/>
    <col min="9732" max="9733" width="0" style="180" hidden="1" customWidth="1"/>
    <col min="9734" max="9735" width="16.28515625" style="180" customWidth="1"/>
    <col min="9736" max="9744" width="0" style="180" hidden="1" customWidth="1"/>
    <col min="9745" max="9745" width="16.140625" style="180" customWidth="1"/>
    <col min="9746" max="9747" width="0" style="180" hidden="1" customWidth="1"/>
    <col min="9748" max="9748" width="16.28515625" style="180" customWidth="1"/>
    <col min="9749" max="9749" width="3" style="180" customWidth="1"/>
    <col min="9750" max="9750" width="1.7109375" style="180" customWidth="1"/>
    <col min="9751" max="9752" width="0" style="180" hidden="1" customWidth="1"/>
    <col min="9753" max="9753" width="9.85546875" style="180" customWidth="1"/>
    <col min="9754" max="9754" width="0" style="180" hidden="1" customWidth="1"/>
    <col min="9755" max="9755" width="12.5703125" style="180" bestFit="1" customWidth="1"/>
    <col min="9756" max="9756" width="0" style="180" hidden="1" customWidth="1"/>
    <col min="9757" max="9970" width="8.85546875" style="180"/>
    <col min="9971" max="9971" width="1.7109375" style="180" customWidth="1"/>
    <col min="9972" max="9972" width="3" style="180" customWidth="1"/>
    <col min="9973" max="9974" width="1.85546875" style="180" customWidth="1"/>
    <col min="9975" max="9975" width="55.85546875" style="180" customWidth="1"/>
    <col min="9976" max="9976" width="4.7109375" style="180" customWidth="1"/>
    <col min="9977" max="9977" width="16.28515625" style="180" customWidth="1"/>
    <col min="9978" max="9986" width="0" style="180" hidden="1" customWidth="1"/>
    <col min="9987" max="9987" width="15.7109375" style="180" customWidth="1"/>
    <col min="9988" max="9989" width="0" style="180" hidden="1" customWidth="1"/>
    <col min="9990" max="9991" width="16.28515625" style="180" customWidth="1"/>
    <col min="9992" max="10000" width="0" style="180" hidden="1" customWidth="1"/>
    <col min="10001" max="10001" width="16.140625" style="180" customWidth="1"/>
    <col min="10002" max="10003" width="0" style="180" hidden="1" customWidth="1"/>
    <col min="10004" max="10004" width="16.28515625" style="180" customWidth="1"/>
    <col min="10005" max="10005" width="3" style="180" customWidth="1"/>
    <col min="10006" max="10006" width="1.7109375" style="180" customWidth="1"/>
    <col min="10007" max="10008" width="0" style="180" hidden="1" customWidth="1"/>
    <col min="10009" max="10009" width="9.85546875" style="180" customWidth="1"/>
    <col min="10010" max="10010" width="0" style="180" hidden="1" customWidth="1"/>
    <col min="10011" max="10011" width="12.5703125" style="180" bestFit="1" customWidth="1"/>
    <col min="10012" max="10012" width="0" style="180" hidden="1" customWidth="1"/>
    <col min="10013" max="10226" width="8.85546875" style="180"/>
    <col min="10227" max="10227" width="1.7109375" style="180" customWidth="1"/>
    <col min="10228" max="10228" width="3" style="180" customWidth="1"/>
    <col min="10229" max="10230" width="1.85546875" style="180" customWidth="1"/>
    <col min="10231" max="10231" width="55.85546875" style="180" customWidth="1"/>
    <col min="10232" max="10232" width="4.7109375" style="180" customWidth="1"/>
    <col min="10233" max="10233" width="16.28515625" style="180" customWidth="1"/>
    <col min="10234" max="10242" width="0" style="180" hidden="1" customWidth="1"/>
    <col min="10243" max="10243" width="15.7109375" style="180" customWidth="1"/>
    <col min="10244" max="10245" width="0" style="180" hidden="1" customWidth="1"/>
    <col min="10246" max="10247" width="16.28515625" style="180" customWidth="1"/>
    <col min="10248" max="10256" width="0" style="180" hidden="1" customWidth="1"/>
    <col min="10257" max="10257" width="16.140625" style="180" customWidth="1"/>
    <col min="10258" max="10259" width="0" style="180" hidden="1" customWidth="1"/>
    <col min="10260" max="10260" width="16.28515625" style="180" customWidth="1"/>
    <col min="10261" max="10261" width="3" style="180" customWidth="1"/>
    <col min="10262" max="10262" width="1.7109375" style="180" customWidth="1"/>
    <col min="10263" max="10264" width="0" style="180" hidden="1" customWidth="1"/>
    <col min="10265" max="10265" width="9.85546875" style="180" customWidth="1"/>
    <col min="10266" max="10266" width="0" style="180" hidden="1" customWidth="1"/>
    <col min="10267" max="10267" width="12.5703125" style="180" bestFit="1" customWidth="1"/>
    <col min="10268" max="10268" width="0" style="180" hidden="1" customWidth="1"/>
    <col min="10269" max="10482" width="8.85546875" style="180"/>
    <col min="10483" max="10483" width="1.7109375" style="180" customWidth="1"/>
    <col min="10484" max="10484" width="3" style="180" customWidth="1"/>
    <col min="10485" max="10486" width="1.85546875" style="180" customWidth="1"/>
    <col min="10487" max="10487" width="55.85546875" style="180" customWidth="1"/>
    <col min="10488" max="10488" width="4.7109375" style="180" customWidth="1"/>
    <col min="10489" max="10489" width="16.28515625" style="180" customWidth="1"/>
    <col min="10490" max="10498" width="0" style="180" hidden="1" customWidth="1"/>
    <col min="10499" max="10499" width="15.7109375" style="180" customWidth="1"/>
    <col min="10500" max="10501" width="0" style="180" hidden="1" customWidth="1"/>
    <col min="10502" max="10503" width="16.28515625" style="180" customWidth="1"/>
    <col min="10504" max="10512" width="0" style="180" hidden="1" customWidth="1"/>
    <col min="10513" max="10513" width="16.140625" style="180" customWidth="1"/>
    <col min="10514" max="10515" width="0" style="180" hidden="1" customWidth="1"/>
    <col min="10516" max="10516" width="16.28515625" style="180" customWidth="1"/>
    <col min="10517" max="10517" width="3" style="180" customWidth="1"/>
    <col min="10518" max="10518" width="1.7109375" style="180" customWidth="1"/>
    <col min="10519" max="10520" width="0" style="180" hidden="1" customWidth="1"/>
    <col min="10521" max="10521" width="9.85546875" style="180" customWidth="1"/>
    <col min="10522" max="10522" width="0" style="180" hidden="1" customWidth="1"/>
    <col min="10523" max="10523" width="12.5703125" style="180" bestFit="1" customWidth="1"/>
    <col min="10524" max="10524" width="0" style="180" hidden="1" customWidth="1"/>
    <col min="10525" max="10738" width="8.85546875" style="180"/>
    <col min="10739" max="10739" width="1.7109375" style="180" customWidth="1"/>
    <col min="10740" max="10740" width="3" style="180" customWidth="1"/>
    <col min="10741" max="10742" width="1.85546875" style="180" customWidth="1"/>
    <col min="10743" max="10743" width="55.85546875" style="180" customWidth="1"/>
    <col min="10744" max="10744" width="4.7109375" style="180" customWidth="1"/>
    <col min="10745" max="10745" width="16.28515625" style="180" customWidth="1"/>
    <col min="10746" max="10754" width="0" style="180" hidden="1" customWidth="1"/>
    <col min="10755" max="10755" width="15.7109375" style="180" customWidth="1"/>
    <col min="10756" max="10757" width="0" style="180" hidden="1" customWidth="1"/>
    <col min="10758" max="10759" width="16.28515625" style="180" customWidth="1"/>
    <col min="10760" max="10768" width="0" style="180" hidden="1" customWidth="1"/>
    <col min="10769" max="10769" width="16.140625" style="180" customWidth="1"/>
    <col min="10770" max="10771" width="0" style="180" hidden="1" customWidth="1"/>
    <col min="10772" max="10772" width="16.28515625" style="180" customWidth="1"/>
    <col min="10773" max="10773" width="3" style="180" customWidth="1"/>
    <col min="10774" max="10774" width="1.7109375" style="180" customWidth="1"/>
    <col min="10775" max="10776" width="0" style="180" hidden="1" customWidth="1"/>
    <col min="10777" max="10777" width="9.85546875" style="180" customWidth="1"/>
    <col min="10778" max="10778" width="0" style="180" hidden="1" customWidth="1"/>
    <col min="10779" max="10779" width="12.5703125" style="180" bestFit="1" customWidth="1"/>
    <col min="10780" max="10780" width="0" style="180" hidden="1" customWidth="1"/>
    <col min="10781" max="10994" width="8.85546875" style="180"/>
    <col min="10995" max="10995" width="1.7109375" style="180" customWidth="1"/>
    <col min="10996" max="10996" width="3" style="180" customWidth="1"/>
    <col min="10997" max="10998" width="1.85546875" style="180" customWidth="1"/>
    <col min="10999" max="10999" width="55.85546875" style="180" customWidth="1"/>
    <col min="11000" max="11000" width="4.7109375" style="180" customWidth="1"/>
    <col min="11001" max="11001" width="16.28515625" style="180" customWidth="1"/>
    <col min="11002" max="11010" width="0" style="180" hidden="1" customWidth="1"/>
    <col min="11011" max="11011" width="15.7109375" style="180" customWidth="1"/>
    <col min="11012" max="11013" width="0" style="180" hidden="1" customWidth="1"/>
    <col min="11014" max="11015" width="16.28515625" style="180" customWidth="1"/>
    <col min="11016" max="11024" width="0" style="180" hidden="1" customWidth="1"/>
    <col min="11025" max="11025" width="16.140625" style="180" customWidth="1"/>
    <col min="11026" max="11027" width="0" style="180" hidden="1" customWidth="1"/>
    <col min="11028" max="11028" width="16.28515625" style="180" customWidth="1"/>
    <col min="11029" max="11029" width="3" style="180" customWidth="1"/>
    <col min="11030" max="11030" width="1.7109375" style="180" customWidth="1"/>
    <col min="11031" max="11032" width="0" style="180" hidden="1" customWidth="1"/>
    <col min="11033" max="11033" width="9.85546875" style="180" customWidth="1"/>
    <col min="11034" max="11034" width="0" style="180" hidden="1" customWidth="1"/>
    <col min="11035" max="11035" width="12.5703125" style="180" bestFit="1" customWidth="1"/>
    <col min="11036" max="11036" width="0" style="180" hidden="1" customWidth="1"/>
    <col min="11037" max="11250" width="8.85546875" style="180"/>
    <col min="11251" max="11251" width="1.7109375" style="180" customWidth="1"/>
    <col min="11252" max="11252" width="3" style="180" customWidth="1"/>
    <col min="11253" max="11254" width="1.85546875" style="180" customWidth="1"/>
    <col min="11255" max="11255" width="55.85546875" style="180" customWidth="1"/>
    <col min="11256" max="11256" width="4.7109375" style="180" customWidth="1"/>
    <col min="11257" max="11257" width="16.28515625" style="180" customWidth="1"/>
    <col min="11258" max="11266" width="0" style="180" hidden="1" customWidth="1"/>
    <col min="11267" max="11267" width="15.7109375" style="180" customWidth="1"/>
    <col min="11268" max="11269" width="0" style="180" hidden="1" customWidth="1"/>
    <col min="11270" max="11271" width="16.28515625" style="180" customWidth="1"/>
    <col min="11272" max="11280" width="0" style="180" hidden="1" customWidth="1"/>
    <col min="11281" max="11281" width="16.140625" style="180" customWidth="1"/>
    <col min="11282" max="11283" width="0" style="180" hidden="1" customWidth="1"/>
    <col min="11284" max="11284" width="16.28515625" style="180" customWidth="1"/>
    <col min="11285" max="11285" width="3" style="180" customWidth="1"/>
    <col min="11286" max="11286" width="1.7109375" style="180" customWidth="1"/>
    <col min="11287" max="11288" width="0" style="180" hidden="1" customWidth="1"/>
    <col min="11289" max="11289" width="9.85546875" style="180" customWidth="1"/>
    <col min="11290" max="11290" width="0" style="180" hidden="1" customWidth="1"/>
    <col min="11291" max="11291" width="12.5703125" style="180" bestFit="1" customWidth="1"/>
    <col min="11292" max="11292" width="0" style="180" hidden="1" customWidth="1"/>
    <col min="11293" max="11506" width="8.85546875" style="180"/>
    <col min="11507" max="11507" width="1.7109375" style="180" customWidth="1"/>
    <col min="11508" max="11508" width="3" style="180" customWidth="1"/>
    <col min="11509" max="11510" width="1.85546875" style="180" customWidth="1"/>
    <col min="11511" max="11511" width="55.85546875" style="180" customWidth="1"/>
    <col min="11512" max="11512" width="4.7109375" style="180" customWidth="1"/>
    <col min="11513" max="11513" width="16.28515625" style="180" customWidth="1"/>
    <col min="11514" max="11522" width="0" style="180" hidden="1" customWidth="1"/>
    <col min="11523" max="11523" width="15.7109375" style="180" customWidth="1"/>
    <col min="11524" max="11525" width="0" style="180" hidden="1" customWidth="1"/>
    <col min="11526" max="11527" width="16.28515625" style="180" customWidth="1"/>
    <col min="11528" max="11536" width="0" style="180" hidden="1" customWidth="1"/>
    <col min="11537" max="11537" width="16.140625" style="180" customWidth="1"/>
    <col min="11538" max="11539" width="0" style="180" hidden="1" customWidth="1"/>
    <col min="11540" max="11540" width="16.28515625" style="180" customWidth="1"/>
    <col min="11541" max="11541" width="3" style="180" customWidth="1"/>
    <col min="11542" max="11542" width="1.7109375" style="180" customWidth="1"/>
    <col min="11543" max="11544" width="0" style="180" hidden="1" customWidth="1"/>
    <col min="11545" max="11545" width="9.85546875" style="180" customWidth="1"/>
    <col min="11546" max="11546" width="0" style="180" hidden="1" customWidth="1"/>
    <col min="11547" max="11547" width="12.5703125" style="180" bestFit="1" customWidth="1"/>
    <col min="11548" max="11548" width="0" style="180" hidden="1" customWidth="1"/>
    <col min="11549" max="11762" width="8.85546875" style="180"/>
    <col min="11763" max="11763" width="1.7109375" style="180" customWidth="1"/>
    <col min="11764" max="11764" width="3" style="180" customWidth="1"/>
    <col min="11765" max="11766" width="1.85546875" style="180" customWidth="1"/>
    <col min="11767" max="11767" width="55.85546875" style="180" customWidth="1"/>
    <col min="11768" max="11768" width="4.7109375" style="180" customWidth="1"/>
    <col min="11769" max="11769" width="16.28515625" style="180" customWidth="1"/>
    <col min="11770" max="11778" width="0" style="180" hidden="1" customWidth="1"/>
    <col min="11779" max="11779" width="15.7109375" style="180" customWidth="1"/>
    <col min="11780" max="11781" width="0" style="180" hidden="1" customWidth="1"/>
    <col min="11782" max="11783" width="16.28515625" style="180" customWidth="1"/>
    <col min="11784" max="11792" width="0" style="180" hidden="1" customWidth="1"/>
    <col min="11793" max="11793" width="16.140625" style="180" customWidth="1"/>
    <col min="11794" max="11795" width="0" style="180" hidden="1" customWidth="1"/>
    <col min="11796" max="11796" width="16.28515625" style="180" customWidth="1"/>
    <col min="11797" max="11797" width="3" style="180" customWidth="1"/>
    <col min="11798" max="11798" width="1.7109375" style="180" customWidth="1"/>
    <col min="11799" max="11800" width="0" style="180" hidden="1" customWidth="1"/>
    <col min="11801" max="11801" width="9.85546875" style="180" customWidth="1"/>
    <col min="11802" max="11802" width="0" style="180" hidden="1" customWidth="1"/>
    <col min="11803" max="11803" width="12.5703125" style="180" bestFit="1" customWidth="1"/>
    <col min="11804" max="11804" width="0" style="180" hidden="1" customWidth="1"/>
    <col min="11805" max="12018" width="8.85546875" style="180"/>
    <col min="12019" max="12019" width="1.7109375" style="180" customWidth="1"/>
    <col min="12020" max="12020" width="3" style="180" customWidth="1"/>
    <col min="12021" max="12022" width="1.85546875" style="180" customWidth="1"/>
    <col min="12023" max="12023" width="55.85546875" style="180" customWidth="1"/>
    <col min="12024" max="12024" width="4.7109375" style="180" customWidth="1"/>
    <col min="12025" max="12025" width="16.28515625" style="180" customWidth="1"/>
    <col min="12026" max="12034" width="0" style="180" hidden="1" customWidth="1"/>
    <col min="12035" max="12035" width="15.7109375" style="180" customWidth="1"/>
    <col min="12036" max="12037" width="0" style="180" hidden="1" customWidth="1"/>
    <col min="12038" max="12039" width="16.28515625" style="180" customWidth="1"/>
    <col min="12040" max="12048" width="0" style="180" hidden="1" customWidth="1"/>
    <col min="12049" max="12049" width="16.140625" style="180" customWidth="1"/>
    <col min="12050" max="12051" width="0" style="180" hidden="1" customWidth="1"/>
    <col min="12052" max="12052" width="16.28515625" style="180" customWidth="1"/>
    <col min="12053" max="12053" width="3" style="180" customWidth="1"/>
    <col min="12054" max="12054" width="1.7109375" style="180" customWidth="1"/>
    <col min="12055" max="12056" width="0" style="180" hidden="1" customWidth="1"/>
    <col min="12057" max="12057" width="9.85546875" style="180" customWidth="1"/>
    <col min="12058" max="12058" width="0" style="180" hidden="1" customWidth="1"/>
    <col min="12059" max="12059" width="12.5703125" style="180" bestFit="1" customWidth="1"/>
    <col min="12060" max="12060" width="0" style="180" hidden="1" customWidth="1"/>
    <col min="12061" max="12274" width="8.85546875" style="180"/>
    <col min="12275" max="12275" width="1.7109375" style="180" customWidth="1"/>
    <col min="12276" max="12276" width="3" style="180" customWidth="1"/>
    <col min="12277" max="12278" width="1.85546875" style="180" customWidth="1"/>
    <col min="12279" max="12279" width="55.85546875" style="180" customWidth="1"/>
    <col min="12280" max="12280" width="4.7109375" style="180" customWidth="1"/>
    <col min="12281" max="12281" width="16.28515625" style="180" customWidth="1"/>
    <col min="12282" max="12290" width="0" style="180" hidden="1" customWidth="1"/>
    <col min="12291" max="12291" width="15.7109375" style="180" customWidth="1"/>
    <col min="12292" max="12293" width="0" style="180" hidden="1" customWidth="1"/>
    <col min="12294" max="12295" width="16.28515625" style="180" customWidth="1"/>
    <col min="12296" max="12304" width="0" style="180" hidden="1" customWidth="1"/>
    <col min="12305" max="12305" width="16.140625" style="180" customWidth="1"/>
    <col min="12306" max="12307" width="0" style="180" hidden="1" customWidth="1"/>
    <col min="12308" max="12308" width="16.28515625" style="180" customWidth="1"/>
    <col min="12309" max="12309" width="3" style="180" customWidth="1"/>
    <col min="12310" max="12310" width="1.7109375" style="180" customWidth="1"/>
    <col min="12311" max="12312" width="0" style="180" hidden="1" customWidth="1"/>
    <col min="12313" max="12313" width="9.85546875" style="180" customWidth="1"/>
    <col min="12314" max="12314" width="0" style="180" hidden="1" customWidth="1"/>
    <col min="12315" max="12315" width="12.5703125" style="180" bestFit="1" customWidth="1"/>
    <col min="12316" max="12316" width="0" style="180" hidden="1" customWidth="1"/>
    <col min="12317" max="12530" width="8.85546875" style="180"/>
    <col min="12531" max="12531" width="1.7109375" style="180" customWidth="1"/>
    <col min="12532" max="12532" width="3" style="180" customWidth="1"/>
    <col min="12533" max="12534" width="1.85546875" style="180" customWidth="1"/>
    <col min="12535" max="12535" width="55.85546875" style="180" customWidth="1"/>
    <col min="12536" max="12536" width="4.7109375" style="180" customWidth="1"/>
    <col min="12537" max="12537" width="16.28515625" style="180" customWidth="1"/>
    <col min="12538" max="12546" width="0" style="180" hidden="1" customWidth="1"/>
    <col min="12547" max="12547" width="15.7109375" style="180" customWidth="1"/>
    <col min="12548" max="12549" width="0" style="180" hidden="1" customWidth="1"/>
    <col min="12550" max="12551" width="16.28515625" style="180" customWidth="1"/>
    <col min="12552" max="12560" width="0" style="180" hidden="1" customWidth="1"/>
    <col min="12561" max="12561" width="16.140625" style="180" customWidth="1"/>
    <col min="12562" max="12563" width="0" style="180" hidden="1" customWidth="1"/>
    <col min="12564" max="12564" width="16.28515625" style="180" customWidth="1"/>
    <col min="12565" max="12565" width="3" style="180" customWidth="1"/>
    <col min="12566" max="12566" width="1.7109375" style="180" customWidth="1"/>
    <col min="12567" max="12568" width="0" style="180" hidden="1" customWidth="1"/>
    <col min="12569" max="12569" width="9.85546875" style="180" customWidth="1"/>
    <col min="12570" max="12570" width="0" style="180" hidden="1" customWidth="1"/>
    <col min="12571" max="12571" width="12.5703125" style="180" bestFit="1" customWidth="1"/>
    <col min="12572" max="12572" width="0" style="180" hidden="1" customWidth="1"/>
    <col min="12573" max="12786" width="8.85546875" style="180"/>
    <col min="12787" max="12787" width="1.7109375" style="180" customWidth="1"/>
    <col min="12788" max="12788" width="3" style="180" customWidth="1"/>
    <col min="12789" max="12790" width="1.85546875" style="180" customWidth="1"/>
    <col min="12791" max="12791" width="55.85546875" style="180" customWidth="1"/>
    <col min="12792" max="12792" width="4.7109375" style="180" customWidth="1"/>
    <col min="12793" max="12793" width="16.28515625" style="180" customWidth="1"/>
    <col min="12794" max="12802" width="0" style="180" hidden="1" customWidth="1"/>
    <col min="12803" max="12803" width="15.7109375" style="180" customWidth="1"/>
    <col min="12804" max="12805" width="0" style="180" hidden="1" customWidth="1"/>
    <col min="12806" max="12807" width="16.28515625" style="180" customWidth="1"/>
    <col min="12808" max="12816" width="0" style="180" hidden="1" customWidth="1"/>
    <col min="12817" max="12817" width="16.140625" style="180" customWidth="1"/>
    <col min="12818" max="12819" width="0" style="180" hidden="1" customWidth="1"/>
    <col min="12820" max="12820" width="16.28515625" style="180" customWidth="1"/>
    <col min="12821" max="12821" width="3" style="180" customWidth="1"/>
    <col min="12822" max="12822" width="1.7109375" style="180" customWidth="1"/>
    <col min="12823" max="12824" width="0" style="180" hidden="1" customWidth="1"/>
    <col min="12825" max="12825" width="9.85546875" style="180" customWidth="1"/>
    <col min="12826" max="12826" width="0" style="180" hidden="1" customWidth="1"/>
    <col min="12827" max="12827" width="12.5703125" style="180" bestFit="1" customWidth="1"/>
    <col min="12828" max="12828" width="0" style="180" hidden="1" customWidth="1"/>
    <col min="12829" max="13042" width="8.85546875" style="180"/>
    <col min="13043" max="13043" width="1.7109375" style="180" customWidth="1"/>
    <col min="13044" max="13044" width="3" style="180" customWidth="1"/>
    <col min="13045" max="13046" width="1.85546875" style="180" customWidth="1"/>
    <col min="13047" max="13047" width="55.85546875" style="180" customWidth="1"/>
    <col min="13048" max="13048" width="4.7109375" style="180" customWidth="1"/>
    <col min="13049" max="13049" width="16.28515625" style="180" customWidth="1"/>
    <col min="13050" max="13058" width="0" style="180" hidden="1" customWidth="1"/>
    <col min="13059" max="13059" width="15.7109375" style="180" customWidth="1"/>
    <col min="13060" max="13061" width="0" style="180" hidden="1" customWidth="1"/>
    <col min="13062" max="13063" width="16.28515625" style="180" customWidth="1"/>
    <col min="13064" max="13072" width="0" style="180" hidden="1" customWidth="1"/>
    <col min="13073" max="13073" width="16.140625" style="180" customWidth="1"/>
    <col min="13074" max="13075" width="0" style="180" hidden="1" customWidth="1"/>
    <col min="13076" max="13076" width="16.28515625" style="180" customWidth="1"/>
    <col min="13077" max="13077" width="3" style="180" customWidth="1"/>
    <col min="13078" max="13078" width="1.7109375" style="180" customWidth="1"/>
    <col min="13079" max="13080" width="0" style="180" hidden="1" customWidth="1"/>
    <col min="13081" max="13081" width="9.85546875" style="180" customWidth="1"/>
    <col min="13082" max="13082" width="0" style="180" hidden="1" customWidth="1"/>
    <col min="13083" max="13083" width="12.5703125" style="180" bestFit="1" customWidth="1"/>
    <col min="13084" max="13084" width="0" style="180" hidden="1" customWidth="1"/>
    <col min="13085" max="13298" width="8.85546875" style="180"/>
    <col min="13299" max="13299" width="1.7109375" style="180" customWidth="1"/>
    <col min="13300" max="13300" width="3" style="180" customWidth="1"/>
    <col min="13301" max="13302" width="1.85546875" style="180" customWidth="1"/>
    <col min="13303" max="13303" width="55.85546875" style="180" customWidth="1"/>
    <col min="13304" max="13304" width="4.7109375" style="180" customWidth="1"/>
    <col min="13305" max="13305" width="16.28515625" style="180" customWidth="1"/>
    <col min="13306" max="13314" width="0" style="180" hidden="1" customWidth="1"/>
    <col min="13315" max="13315" width="15.7109375" style="180" customWidth="1"/>
    <col min="13316" max="13317" width="0" style="180" hidden="1" customWidth="1"/>
    <col min="13318" max="13319" width="16.28515625" style="180" customWidth="1"/>
    <col min="13320" max="13328" width="0" style="180" hidden="1" customWidth="1"/>
    <col min="13329" max="13329" width="16.140625" style="180" customWidth="1"/>
    <col min="13330" max="13331" width="0" style="180" hidden="1" customWidth="1"/>
    <col min="13332" max="13332" width="16.28515625" style="180" customWidth="1"/>
    <col min="13333" max="13333" width="3" style="180" customWidth="1"/>
    <col min="13334" max="13334" width="1.7109375" style="180" customWidth="1"/>
    <col min="13335" max="13336" width="0" style="180" hidden="1" customWidth="1"/>
    <col min="13337" max="13337" width="9.85546875" style="180" customWidth="1"/>
    <col min="13338" max="13338" width="0" style="180" hidden="1" customWidth="1"/>
    <col min="13339" max="13339" width="12.5703125" style="180" bestFit="1" customWidth="1"/>
    <col min="13340" max="13340" width="0" style="180" hidden="1" customWidth="1"/>
    <col min="13341" max="13554" width="8.85546875" style="180"/>
    <col min="13555" max="13555" width="1.7109375" style="180" customWidth="1"/>
    <col min="13556" max="13556" width="3" style="180" customWidth="1"/>
    <col min="13557" max="13558" width="1.85546875" style="180" customWidth="1"/>
    <col min="13559" max="13559" width="55.85546875" style="180" customWidth="1"/>
    <col min="13560" max="13560" width="4.7109375" style="180" customWidth="1"/>
    <col min="13561" max="13561" width="16.28515625" style="180" customWidth="1"/>
    <col min="13562" max="13570" width="0" style="180" hidden="1" customWidth="1"/>
    <col min="13571" max="13571" width="15.7109375" style="180" customWidth="1"/>
    <col min="13572" max="13573" width="0" style="180" hidden="1" customWidth="1"/>
    <col min="13574" max="13575" width="16.28515625" style="180" customWidth="1"/>
    <col min="13576" max="13584" width="0" style="180" hidden="1" customWidth="1"/>
    <col min="13585" max="13585" width="16.140625" style="180" customWidth="1"/>
    <col min="13586" max="13587" width="0" style="180" hidden="1" customWidth="1"/>
    <col min="13588" max="13588" width="16.28515625" style="180" customWidth="1"/>
    <col min="13589" max="13589" width="3" style="180" customWidth="1"/>
    <col min="13590" max="13590" width="1.7109375" style="180" customWidth="1"/>
    <col min="13591" max="13592" width="0" style="180" hidden="1" customWidth="1"/>
    <col min="13593" max="13593" width="9.85546875" style="180" customWidth="1"/>
    <col min="13594" max="13594" width="0" style="180" hidden="1" customWidth="1"/>
    <col min="13595" max="13595" width="12.5703125" style="180" bestFit="1" customWidth="1"/>
    <col min="13596" max="13596" width="0" style="180" hidden="1" customWidth="1"/>
    <col min="13597" max="13810" width="8.85546875" style="180"/>
    <col min="13811" max="13811" width="1.7109375" style="180" customWidth="1"/>
    <col min="13812" max="13812" width="3" style="180" customWidth="1"/>
    <col min="13813" max="13814" width="1.85546875" style="180" customWidth="1"/>
    <col min="13815" max="13815" width="55.85546875" style="180" customWidth="1"/>
    <col min="13816" max="13816" width="4.7109375" style="180" customWidth="1"/>
    <col min="13817" max="13817" width="16.28515625" style="180" customWidth="1"/>
    <col min="13818" max="13826" width="0" style="180" hidden="1" customWidth="1"/>
    <col min="13827" max="13827" width="15.7109375" style="180" customWidth="1"/>
    <col min="13828" max="13829" width="0" style="180" hidden="1" customWidth="1"/>
    <col min="13830" max="13831" width="16.28515625" style="180" customWidth="1"/>
    <col min="13832" max="13840" width="0" style="180" hidden="1" customWidth="1"/>
    <col min="13841" max="13841" width="16.140625" style="180" customWidth="1"/>
    <col min="13842" max="13843" width="0" style="180" hidden="1" customWidth="1"/>
    <col min="13844" max="13844" width="16.28515625" style="180" customWidth="1"/>
    <col min="13845" max="13845" width="3" style="180" customWidth="1"/>
    <col min="13846" max="13846" width="1.7109375" style="180" customWidth="1"/>
    <col min="13847" max="13848" width="0" style="180" hidden="1" customWidth="1"/>
    <col min="13849" max="13849" width="9.85546875" style="180" customWidth="1"/>
    <col min="13850" max="13850" width="0" style="180" hidden="1" customWidth="1"/>
    <col min="13851" max="13851" width="12.5703125" style="180" bestFit="1" customWidth="1"/>
    <col min="13852" max="13852" width="0" style="180" hidden="1" customWidth="1"/>
    <col min="13853" max="14066" width="8.85546875" style="180"/>
    <col min="14067" max="14067" width="1.7109375" style="180" customWidth="1"/>
    <col min="14068" max="14068" width="3" style="180" customWidth="1"/>
    <col min="14069" max="14070" width="1.85546875" style="180" customWidth="1"/>
    <col min="14071" max="14071" width="55.85546875" style="180" customWidth="1"/>
    <col min="14072" max="14072" width="4.7109375" style="180" customWidth="1"/>
    <col min="14073" max="14073" width="16.28515625" style="180" customWidth="1"/>
    <col min="14074" max="14082" width="0" style="180" hidden="1" customWidth="1"/>
    <col min="14083" max="14083" width="15.7109375" style="180" customWidth="1"/>
    <col min="14084" max="14085" width="0" style="180" hidden="1" customWidth="1"/>
    <col min="14086" max="14087" width="16.28515625" style="180" customWidth="1"/>
    <col min="14088" max="14096" width="0" style="180" hidden="1" customWidth="1"/>
    <col min="14097" max="14097" width="16.140625" style="180" customWidth="1"/>
    <col min="14098" max="14099" width="0" style="180" hidden="1" customWidth="1"/>
    <col min="14100" max="14100" width="16.28515625" style="180" customWidth="1"/>
    <col min="14101" max="14101" width="3" style="180" customWidth="1"/>
    <col min="14102" max="14102" width="1.7109375" style="180" customWidth="1"/>
    <col min="14103" max="14104" width="0" style="180" hidden="1" customWidth="1"/>
    <col min="14105" max="14105" width="9.85546875" style="180" customWidth="1"/>
    <col min="14106" max="14106" width="0" style="180" hidden="1" customWidth="1"/>
    <col min="14107" max="14107" width="12.5703125" style="180" bestFit="1" customWidth="1"/>
    <col min="14108" max="14108" width="0" style="180" hidden="1" customWidth="1"/>
    <col min="14109" max="14322" width="8.85546875" style="180"/>
    <col min="14323" max="14323" width="1.7109375" style="180" customWidth="1"/>
    <col min="14324" max="14324" width="3" style="180" customWidth="1"/>
    <col min="14325" max="14326" width="1.85546875" style="180" customWidth="1"/>
    <col min="14327" max="14327" width="55.85546875" style="180" customWidth="1"/>
    <col min="14328" max="14328" width="4.7109375" style="180" customWidth="1"/>
    <col min="14329" max="14329" width="16.28515625" style="180" customWidth="1"/>
    <col min="14330" max="14338" width="0" style="180" hidden="1" customWidth="1"/>
    <col min="14339" max="14339" width="15.7109375" style="180" customWidth="1"/>
    <col min="14340" max="14341" width="0" style="180" hidden="1" customWidth="1"/>
    <col min="14342" max="14343" width="16.28515625" style="180" customWidth="1"/>
    <col min="14344" max="14352" width="0" style="180" hidden="1" customWidth="1"/>
    <col min="14353" max="14353" width="16.140625" style="180" customWidth="1"/>
    <col min="14354" max="14355" width="0" style="180" hidden="1" customWidth="1"/>
    <col min="14356" max="14356" width="16.28515625" style="180" customWidth="1"/>
    <col min="14357" max="14357" width="3" style="180" customWidth="1"/>
    <col min="14358" max="14358" width="1.7109375" style="180" customWidth="1"/>
    <col min="14359" max="14360" width="0" style="180" hidden="1" customWidth="1"/>
    <col min="14361" max="14361" width="9.85546875" style="180" customWidth="1"/>
    <col min="14362" max="14362" width="0" style="180" hidden="1" customWidth="1"/>
    <col min="14363" max="14363" width="12.5703125" style="180" bestFit="1" customWidth="1"/>
    <col min="14364" max="14364" width="0" style="180" hidden="1" customWidth="1"/>
    <col min="14365" max="14578" width="8.85546875" style="180"/>
    <col min="14579" max="14579" width="1.7109375" style="180" customWidth="1"/>
    <col min="14580" max="14580" width="3" style="180" customWidth="1"/>
    <col min="14581" max="14582" width="1.85546875" style="180" customWidth="1"/>
    <col min="14583" max="14583" width="55.85546875" style="180" customWidth="1"/>
    <col min="14584" max="14584" width="4.7109375" style="180" customWidth="1"/>
    <col min="14585" max="14585" width="16.28515625" style="180" customWidth="1"/>
    <col min="14586" max="14594" width="0" style="180" hidden="1" customWidth="1"/>
    <col min="14595" max="14595" width="15.7109375" style="180" customWidth="1"/>
    <col min="14596" max="14597" width="0" style="180" hidden="1" customWidth="1"/>
    <col min="14598" max="14599" width="16.28515625" style="180" customWidth="1"/>
    <col min="14600" max="14608" width="0" style="180" hidden="1" customWidth="1"/>
    <col min="14609" max="14609" width="16.140625" style="180" customWidth="1"/>
    <col min="14610" max="14611" width="0" style="180" hidden="1" customWidth="1"/>
    <col min="14612" max="14612" width="16.28515625" style="180" customWidth="1"/>
    <col min="14613" max="14613" width="3" style="180" customWidth="1"/>
    <col min="14614" max="14614" width="1.7109375" style="180" customWidth="1"/>
    <col min="14615" max="14616" width="0" style="180" hidden="1" customWidth="1"/>
    <col min="14617" max="14617" width="9.85546875" style="180" customWidth="1"/>
    <col min="14618" max="14618" width="0" style="180" hidden="1" customWidth="1"/>
    <col min="14619" max="14619" width="12.5703125" style="180" bestFit="1" customWidth="1"/>
    <col min="14620" max="14620" width="0" style="180" hidden="1" customWidth="1"/>
    <col min="14621" max="14834" width="8.85546875" style="180"/>
    <col min="14835" max="14835" width="1.7109375" style="180" customWidth="1"/>
    <col min="14836" max="14836" width="3" style="180" customWidth="1"/>
    <col min="14837" max="14838" width="1.85546875" style="180" customWidth="1"/>
    <col min="14839" max="14839" width="55.85546875" style="180" customWidth="1"/>
    <col min="14840" max="14840" width="4.7109375" style="180" customWidth="1"/>
    <col min="14841" max="14841" width="16.28515625" style="180" customWidth="1"/>
    <col min="14842" max="14850" width="0" style="180" hidden="1" customWidth="1"/>
    <col min="14851" max="14851" width="15.7109375" style="180" customWidth="1"/>
    <col min="14852" max="14853" width="0" style="180" hidden="1" customWidth="1"/>
    <col min="14854" max="14855" width="16.28515625" style="180" customWidth="1"/>
    <col min="14856" max="14864" width="0" style="180" hidden="1" customWidth="1"/>
    <col min="14865" max="14865" width="16.140625" style="180" customWidth="1"/>
    <col min="14866" max="14867" width="0" style="180" hidden="1" customWidth="1"/>
    <col min="14868" max="14868" width="16.28515625" style="180" customWidth="1"/>
    <col min="14869" max="14869" width="3" style="180" customWidth="1"/>
    <col min="14870" max="14870" width="1.7109375" style="180" customWidth="1"/>
    <col min="14871" max="14872" width="0" style="180" hidden="1" customWidth="1"/>
    <col min="14873" max="14873" width="9.85546875" style="180" customWidth="1"/>
    <col min="14874" max="14874" width="0" style="180" hidden="1" customWidth="1"/>
    <col min="14875" max="14875" width="12.5703125" style="180" bestFit="1" customWidth="1"/>
    <col min="14876" max="14876" width="0" style="180" hidden="1" customWidth="1"/>
    <col min="14877" max="15090" width="8.85546875" style="180"/>
    <col min="15091" max="15091" width="1.7109375" style="180" customWidth="1"/>
    <col min="15092" max="15092" width="3" style="180" customWidth="1"/>
    <col min="15093" max="15094" width="1.85546875" style="180" customWidth="1"/>
    <col min="15095" max="15095" width="55.85546875" style="180" customWidth="1"/>
    <col min="15096" max="15096" width="4.7109375" style="180" customWidth="1"/>
    <col min="15097" max="15097" width="16.28515625" style="180" customWidth="1"/>
    <col min="15098" max="15106" width="0" style="180" hidden="1" customWidth="1"/>
    <col min="15107" max="15107" width="15.7109375" style="180" customWidth="1"/>
    <col min="15108" max="15109" width="0" style="180" hidden="1" customWidth="1"/>
    <col min="15110" max="15111" width="16.28515625" style="180" customWidth="1"/>
    <col min="15112" max="15120" width="0" style="180" hidden="1" customWidth="1"/>
    <col min="15121" max="15121" width="16.140625" style="180" customWidth="1"/>
    <col min="15122" max="15123" width="0" style="180" hidden="1" customWidth="1"/>
    <col min="15124" max="15124" width="16.28515625" style="180" customWidth="1"/>
    <col min="15125" max="15125" width="3" style="180" customWidth="1"/>
    <col min="15126" max="15126" width="1.7109375" style="180" customWidth="1"/>
    <col min="15127" max="15128" width="0" style="180" hidden="1" customWidth="1"/>
    <col min="15129" max="15129" width="9.85546875" style="180" customWidth="1"/>
    <col min="15130" max="15130" width="0" style="180" hidden="1" customWidth="1"/>
    <col min="15131" max="15131" width="12.5703125" style="180" bestFit="1" customWidth="1"/>
    <col min="15132" max="15132" width="0" style="180" hidden="1" customWidth="1"/>
    <col min="15133" max="15346" width="8.85546875" style="180"/>
    <col min="15347" max="15347" width="1.7109375" style="180" customWidth="1"/>
    <col min="15348" max="15348" width="3" style="180" customWidth="1"/>
    <col min="15349" max="15350" width="1.85546875" style="180" customWidth="1"/>
    <col min="15351" max="15351" width="55.85546875" style="180" customWidth="1"/>
    <col min="15352" max="15352" width="4.7109375" style="180" customWidth="1"/>
    <col min="15353" max="15353" width="16.28515625" style="180" customWidth="1"/>
    <col min="15354" max="15362" width="0" style="180" hidden="1" customWidth="1"/>
    <col min="15363" max="15363" width="15.7109375" style="180" customWidth="1"/>
    <col min="15364" max="15365" width="0" style="180" hidden="1" customWidth="1"/>
    <col min="15366" max="15367" width="16.28515625" style="180" customWidth="1"/>
    <col min="15368" max="15376" width="0" style="180" hidden="1" customWidth="1"/>
    <col min="15377" max="15377" width="16.140625" style="180" customWidth="1"/>
    <col min="15378" max="15379" width="0" style="180" hidden="1" customWidth="1"/>
    <col min="15380" max="15380" width="16.28515625" style="180" customWidth="1"/>
    <col min="15381" max="15381" width="3" style="180" customWidth="1"/>
    <col min="15382" max="15382" width="1.7109375" style="180" customWidth="1"/>
    <col min="15383" max="15384" width="0" style="180" hidden="1" customWidth="1"/>
    <col min="15385" max="15385" width="9.85546875" style="180" customWidth="1"/>
    <col min="15386" max="15386" width="0" style="180" hidden="1" customWidth="1"/>
    <col min="15387" max="15387" width="12.5703125" style="180" bestFit="1" customWidth="1"/>
    <col min="15388" max="15388" width="0" style="180" hidden="1" customWidth="1"/>
    <col min="15389" max="15602" width="8.85546875" style="180"/>
    <col min="15603" max="15603" width="1.7109375" style="180" customWidth="1"/>
    <col min="15604" max="15604" width="3" style="180" customWidth="1"/>
    <col min="15605" max="15606" width="1.85546875" style="180" customWidth="1"/>
    <col min="15607" max="15607" width="55.85546875" style="180" customWidth="1"/>
    <col min="15608" max="15608" width="4.7109375" style="180" customWidth="1"/>
    <col min="15609" max="15609" width="16.28515625" style="180" customWidth="1"/>
    <col min="15610" max="15618" width="0" style="180" hidden="1" customWidth="1"/>
    <col min="15619" max="15619" width="15.7109375" style="180" customWidth="1"/>
    <col min="15620" max="15621" width="0" style="180" hidden="1" customWidth="1"/>
    <col min="15622" max="15623" width="16.28515625" style="180" customWidth="1"/>
    <col min="15624" max="15632" width="0" style="180" hidden="1" customWidth="1"/>
    <col min="15633" max="15633" width="16.140625" style="180" customWidth="1"/>
    <col min="15634" max="15635" width="0" style="180" hidden="1" customWidth="1"/>
    <col min="15636" max="15636" width="16.28515625" style="180" customWidth="1"/>
    <col min="15637" max="15637" width="3" style="180" customWidth="1"/>
    <col min="15638" max="15638" width="1.7109375" style="180" customWidth="1"/>
    <col min="15639" max="15640" width="0" style="180" hidden="1" customWidth="1"/>
    <col min="15641" max="15641" width="9.85546875" style="180" customWidth="1"/>
    <col min="15642" max="15642" width="0" style="180" hidden="1" customWidth="1"/>
    <col min="15643" max="15643" width="12.5703125" style="180" bestFit="1" customWidth="1"/>
    <col min="15644" max="15644" width="0" style="180" hidden="1" customWidth="1"/>
    <col min="15645" max="15858" width="8.85546875" style="180"/>
    <col min="15859" max="15859" width="1.7109375" style="180" customWidth="1"/>
    <col min="15860" max="15860" width="3" style="180" customWidth="1"/>
    <col min="15861" max="15862" width="1.85546875" style="180" customWidth="1"/>
    <col min="15863" max="15863" width="55.85546875" style="180" customWidth="1"/>
    <col min="15864" max="15864" width="4.7109375" style="180" customWidth="1"/>
    <col min="15865" max="15865" width="16.28515625" style="180" customWidth="1"/>
    <col min="15866" max="15874" width="0" style="180" hidden="1" customWidth="1"/>
    <col min="15875" max="15875" width="15.7109375" style="180" customWidth="1"/>
    <col min="15876" max="15877" width="0" style="180" hidden="1" customWidth="1"/>
    <col min="15878" max="15879" width="16.28515625" style="180" customWidth="1"/>
    <col min="15880" max="15888" width="0" style="180" hidden="1" customWidth="1"/>
    <col min="15889" max="15889" width="16.140625" style="180" customWidth="1"/>
    <col min="15890" max="15891" width="0" style="180" hidden="1" customWidth="1"/>
    <col min="15892" max="15892" width="16.28515625" style="180" customWidth="1"/>
    <col min="15893" max="15893" width="3" style="180" customWidth="1"/>
    <col min="15894" max="15894" width="1.7109375" style="180" customWidth="1"/>
    <col min="15895" max="15896" width="0" style="180" hidden="1" customWidth="1"/>
    <col min="15897" max="15897" width="9.85546875" style="180" customWidth="1"/>
    <col min="15898" max="15898" width="0" style="180" hidden="1" customWidth="1"/>
    <col min="15899" max="15899" width="12.5703125" style="180" bestFit="1" customWidth="1"/>
    <col min="15900" max="15900" width="0" style="180" hidden="1" customWidth="1"/>
    <col min="15901" max="16114" width="8.85546875" style="180"/>
    <col min="16115" max="16115" width="1.7109375" style="180" customWidth="1"/>
    <col min="16116" max="16116" width="3" style="180" customWidth="1"/>
    <col min="16117" max="16118" width="1.85546875" style="180" customWidth="1"/>
    <col min="16119" max="16119" width="55.85546875" style="180" customWidth="1"/>
    <col min="16120" max="16120" width="4.7109375" style="180" customWidth="1"/>
    <col min="16121" max="16121" width="16.28515625" style="180" customWidth="1"/>
    <col min="16122" max="16130" width="0" style="180" hidden="1" customWidth="1"/>
    <col min="16131" max="16131" width="15.7109375" style="180" customWidth="1"/>
    <col min="16132" max="16133" width="0" style="180" hidden="1" customWidth="1"/>
    <col min="16134" max="16135" width="16.28515625" style="180" customWidth="1"/>
    <col min="16136" max="16144" width="0" style="180" hidden="1" customWidth="1"/>
    <col min="16145" max="16145" width="16.140625" style="180" customWidth="1"/>
    <col min="16146" max="16147" width="0" style="180" hidden="1" customWidth="1"/>
    <col min="16148" max="16148" width="16.28515625" style="180" customWidth="1"/>
    <col min="16149" max="16149" width="3" style="180" customWidth="1"/>
    <col min="16150" max="16150" width="1.7109375" style="180" customWidth="1"/>
    <col min="16151" max="16152" width="0" style="180" hidden="1" customWidth="1"/>
    <col min="16153" max="16153" width="9.85546875" style="180" customWidth="1"/>
    <col min="16154" max="16154" width="0" style="180" hidden="1" customWidth="1"/>
    <col min="16155" max="16155" width="12.5703125" style="180" bestFit="1" customWidth="1"/>
    <col min="16156" max="16156" width="0" style="180" hidden="1" customWidth="1"/>
    <col min="16157" max="16384" width="8.85546875" style="180"/>
  </cols>
  <sheetData>
    <row r="1" spans="2:27" x14ac:dyDescent="0.2">
      <c r="E1" s="1"/>
      <c r="F1" s="43"/>
      <c r="N1" s="446"/>
      <c r="O1" s="446"/>
      <c r="Q1" s="446"/>
      <c r="R1" s="447"/>
      <c r="T1" s="448"/>
    </row>
    <row r="2" spans="2:27" x14ac:dyDescent="0.2">
      <c r="K2" s="446"/>
      <c r="L2" s="447"/>
      <c r="M2" s="447"/>
      <c r="N2" s="446"/>
      <c r="O2" s="446"/>
      <c r="Q2" s="446"/>
      <c r="T2" s="450"/>
    </row>
    <row r="3" spans="2:27" x14ac:dyDescent="0.2">
      <c r="K3" s="229"/>
      <c r="L3" s="447"/>
      <c r="M3" s="451"/>
      <c r="N3" s="446"/>
      <c r="O3" s="447"/>
      <c r="P3" s="447"/>
      <c r="Q3" s="447"/>
      <c r="R3" s="447"/>
      <c r="S3" s="447"/>
      <c r="T3" s="447"/>
    </row>
    <row r="4" spans="2:27" x14ac:dyDescent="0.2">
      <c r="T4" s="1"/>
    </row>
    <row r="5" spans="2:27" ht="15.75" x14ac:dyDescent="0.25">
      <c r="C5" s="185" t="s">
        <v>509</v>
      </c>
      <c r="W5" s="1"/>
    </row>
    <row r="6" spans="2:27" x14ac:dyDescent="0.2">
      <c r="B6" s="452"/>
      <c r="C6" s="177"/>
      <c r="D6" s="453"/>
      <c r="E6" s="453"/>
      <c r="F6" s="454"/>
      <c r="G6" s="624" t="s">
        <v>1</v>
      </c>
      <c r="H6" s="636"/>
      <c r="I6" s="636"/>
      <c r="J6" s="636"/>
      <c r="K6" s="636"/>
      <c r="L6" s="636"/>
      <c r="M6" s="636"/>
      <c r="N6" s="636"/>
      <c r="O6" s="636"/>
      <c r="P6" s="636"/>
      <c r="Q6" s="636"/>
      <c r="R6" s="636"/>
      <c r="S6" s="636"/>
      <c r="T6" s="637"/>
      <c r="U6" s="171"/>
    </row>
    <row r="7" spans="2:27" ht="15.75" customHeight="1" x14ac:dyDescent="0.2">
      <c r="B7" s="452"/>
      <c r="C7" s="173"/>
      <c r="D7" s="182"/>
      <c r="E7" s="182"/>
      <c r="F7" s="188"/>
      <c r="G7" s="189" t="s">
        <v>3</v>
      </c>
      <c r="H7" s="201" t="s">
        <v>4</v>
      </c>
      <c r="I7" s="201" t="s">
        <v>5</v>
      </c>
      <c r="J7" s="201" t="s">
        <v>6</v>
      </c>
      <c r="K7" s="201" t="s">
        <v>7</v>
      </c>
      <c r="L7" s="189" t="s">
        <v>8</v>
      </c>
      <c r="M7" s="189" t="s">
        <v>9</v>
      </c>
      <c r="N7" s="201" t="s">
        <v>10</v>
      </c>
      <c r="O7" s="189" t="s">
        <v>11</v>
      </c>
      <c r="P7" s="201" t="s">
        <v>12</v>
      </c>
      <c r="Q7" s="189" t="s">
        <v>13</v>
      </c>
      <c r="R7" s="201" t="s">
        <v>14</v>
      </c>
      <c r="S7" s="189" t="s">
        <v>15</v>
      </c>
      <c r="T7" s="189" t="s">
        <v>16</v>
      </c>
      <c r="U7" s="171"/>
      <c r="W7" s="451"/>
    </row>
    <row r="8" spans="2:27" x14ac:dyDescent="0.2">
      <c r="B8" s="452"/>
      <c r="C8" s="455" t="s">
        <v>17</v>
      </c>
      <c r="D8" s="193"/>
      <c r="E8" s="193"/>
      <c r="F8" s="196"/>
      <c r="G8" s="456" t="s">
        <v>18</v>
      </c>
      <c r="H8" s="197"/>
      <c r="I8" s="457"/>
      <c r="J8" s="457"/>
      <c r="K8" s="457"/>
      <c r="L8" s="457"/>
      <c r="M8" s="457"/>
      <c r="N8" s="457"/>
      <c r="O8" s="457"/>
      <c r="P8" s="457"/>
      <c r="Q8" s="457"/>
      <c r="R8" s="457"/>
      <c r="S8" s="457"/>
      <c r="T8" s="457"/>
      <c r="U8" s="171"/>
      <c r="W8" s="43"/>
    </row>
    <row r="9" spans="2:27" x14ac:dyDescent="0.2">
      <c r="B9" s="452"/>
      <c r="C9" s="171"/>
      <c r="G9" s="458"/>
      <c r="H9" s="459"/>
      <c r="I9" s="459"/>
      <c r="J9" s="459"/>
      <c r="K9" s="459"/>
      <c r="L9" s="459"/>
      <c r="M9" s="459"/>
      <c r="N9" s="459"/>
      <c r="O9" s="459"/>
      <c r="P9" s="459"/>
      <c r="Q9" s="459"/>
      <c r="R9" s="459"/>
      <c r="S9" s="459"/>
      <c r="T9" s="459"/>
      <c r="U9" s="171"/>
      <c r="W9" s="43"/>
    </row>
    <row r="10" spans="2:27" x14ac:dyDescent="0.2">
      <c r="B10" s="452"/>
      <c r="C10" s="173" t="s">
        <v>510</v>
      </c>
      <c r="D10" s="182"/>
      <c r="E10" s="182"/>
      <c r="F10" s="460" t="s">
        <v>511</v>
      </c>
      <c r="G10" s="23">
        <v>1097931728.3315389</v>
      </c>
      <c r="H10" s="23">
        <v>61883148</v>
      </c>
      <c r="I10" s="23">
        <v>67969792</v>
      </c>
      <c r="J10" s="23">
        <v>108178496</v>
      </c>
      <c r="K10" s="23">
        <v>64025972</v>
      </c>
      <c r="L10" s="23">
        <v>103080516</v>
      </c>
      <c r="M10" s="23">
        <v>107688872</v>
      </c>
      <c r="N10" s="23">
        <v>83912369</v>
      </c>
      <c r="O10" s="23">
        <v>98129696</v>
      </c>
      <c r="P10" s="23">
        <v>180084076</v>
      </c>
      <c r="Q10" s="23">
        <v>84284663</v>
      </c>
      <c r="R10" s="23">
        <v>0</v>
      </c>
      <c r="S10" s="23">
        <v>0</v>
      </c>
      <c r="T10" s="23">
        <v>959237600</v>
      </c>
      <c r="U10" s="461"/>
      <c r="V10" s="449"/>
      <c r="W10" s="43">
        <v>-284017682.9348805</v>
      </c>
      <c r="X10" s="1">
        <v>284243289</v>
      </c>
      <c r="Z10" s="451"/>
    </row>
    <row r="11" spans="2:27" x14ac:dyDescent="0.2">
      <c r="B11" s="452"/>
      <c r="C11" s="173"/>
      <c r="D11" s="182"/>
      <c r="E11" s="182"/>
      <c r="G11" s="26"/>
      <c r="H11" s="23"/>
      <c r="I11" s="23"/>
      <c r="J11" s="23"/>
      <c r="K11" s="23"/>
      <c r="L11" s="23"/>
      <c r="M11" s="23"/>
      <c r="N11" s="23"/>
      <c r="O11" s="23"/>
      <c r="P11" s="23"/>
      <c r="Q11" s="23"/>
      <c r="R11" s="23"/>
      <c r="S11" s="23"/>
      <c r="T11" s="23"/>
      <c r="U11" s="461"/>
      <c r="V11" s="449"/>
      <c r="W11" s="43"/>
      <c r="X11" s="1"/>
    </row>
    <row r="12" spans="2:27" x14ac:dyDescent="0.2">
      <c r="B12" s="452"/>
      <c r="C12" s="173" t="s">
        <v>512</v>
      </c>
      <c r="D12" s="182"/>
      <c r="E12" s="182"/>
      <c r="F12" s="460" t="s">
        <v>513</v>
      </c>
      <c r="G12" s="26">
        <v>1805758440</v>
      </c>
      <c r="H12" s="26">
        <v>147198373</v>
      </c>
      <c r="I12" s="26">
        <v>119673094</v>
      </c>
      <c r="J12" s="26">
        <v>134004039</v>
      </c>
      <c r="K12" s="26">
        <v>159426148</v>
      </c>
      <c r="L12" s="26">
        <v>203163671</v>
      </c>
      <c r="M12" s="26">
        <v>140205112</v>
      </c>
      <c r="N12" s="26">
        <v>146876286</v>
      </c>
      <c r="O12" s="26">
        <v>120040467</v>
      </c>
      <c r="P12" s="26">
        <v>169099003</v>
      </c>
      <c r="Q12" s="26">
        <v>194286394</v>
      </c>
      <c r="R12" s="26">
        <v>0</v>
      </c>
      <c r="S12" s="26">
        <v>0</v>
      </c>
      <c r="T12" s="26">
        <v>1533972587</v>
      </c>
      <c r="U12" s="461"/>
      <c r="V12" s="43">
        <v>1398735291</v>
      </c>
      <c r="W12" s="462">
        <v>-292318646.70000005</v>
      </c>
      <c r="X12" s="1">
        <v>290456951</v>
      </c>
      <c r="Z12" s="451"/>
    </row>
    <row r="13" spans="2:27" x14ac:dyDescent="0.2">
      <c r="B13" s="452"/>
      <c r="C13" s="171"/>
      <c r="G13" s="463"/>
      <c r="H13" s="464"/>
      <c r="I13" s="464"/>
      <c r="J13" s="464"/>
      <c r="K13" s="464"/>
      <c r="L13" s="464"/>
      <c r="M13" s="464"/>
      <c r="N13" s="125"/>
      <c r="O13" s="464"/>
      <c r="P13" s="464"/>
      <c r="Q13" s="464"/>
      <c r="R13" s="464"/>
      <c r="S13" s="464"/>
      <c r="T13" s="464"/>
      <c r="U13" s="461"/>
      <c r="V13" s="449"/>
      <c r="W13" s="43"/>
      <c r="X13" s="1"/>
      <c r="Y13" s="43"/>
    </row>
    <row r="14" spans="2:27" x14ac:dyDescent="0.2">
      <c r="B14" s="452"/>
      <c r="C14" s="171"/>
      <c r="D14" s="180" t="s">
        <v>514</v>
      </c>
      <c r="F14" s="460" t="s">
        <v>515</v>
      </c>
      <c r="G14" s="463">
        <v>1025349737</v>
      </c>
      <c r="H14" s="463">
        <v>96157178.437030002</v>
      </c>
      <c r="I14" s="464">
        <v>70971442.12861</v>
      </c>
      <c r="J14" s="464">
        <v>65195759.902989998</v>
      </c>
      <c r="K14" s="464">
        <v>81267378</v>
      </c>
      <c r="L14" s="464">
        <v>122129101</v>
      </c>
      <c r="M14" s="464">
        <v>74871798</v>
      </c>
      <c r="N14" s="464">
        <v>98137525.447679996</v>
      </c>
      <c r="O14" s="464">
        <v>72413269</v>
      </c>
      <c r="P14" s="464">
        <v>92854411</v>
      </c>
      <c r="Q14" s="464">
        <v>114583554</v>
      </c>
      <c r="R14" s="464">
        <v>0</v>
      </c>
      <c r="S14" s="464">
        <v>0</v>
      </c>
      <c r="T14" s="125">
        <v>888581416.91631007</v>
      </c>
      <c r="U14" s="461"/>
      <c r="V14" s="449"/>
      <c r="W14" s="43">
        <v>-151701490</v>
      </c>
      <c r="X14" s="1">
        <v>149854092</v>
      </c>
      <c r="AA14" s="451"/>
    </row>
    <row r="15" spans="2:27" x14ac:dyDescent="0.2">
      <c r="B15" s="452"/>
      <c r="C15" s="171"/>
      <c r="G15" s="463"/>
      <c r="H15" s="464"/>
      <c r="I15" s="464"/>
      <c r="J15" s="464"/>
      <c r="K15" s="464"/>
      <c r="L15" s="464"/>
      <c r="M15" s="464"/>
      <c r="N15" s="125"/>
      <c r="O15" s="464"/>
      <c r="P15" s="464"/>
      <c r="Q15" s="464"/>
      <c r="R15" s="464"/>
      <c r="S15" s="464"/>
      <c r="T15" s="464"/>
      <c r="U15" s="461"/>
      <c r="V15" s="449"/>
      <c r="W15" s="43"/>
      <c r="X15" s="1"/>
      <c r="AA15" s="451"/>
    </row>
    <row r="16" spans="2:27" s="182" customFormat="1" x14ac:dyDescent="0.2">
      <c r="B16" s="466"/>
      <c r="C16" s="173"/>
      <c r="D16" s="182" t="s">
        <v>516</v>
      </c>
      <c r="F16" s="188"/>
      <c r="G16" s="467">
        <v>782517261</v>
      </c>
      <c r="H16" s="468">
        <v>51041194.562969998</v>
      </c>
      <c r="I16" s="468">
        <v>48701651.87139</v>
      </c>
      <c r="J16" s="468">
        <v>68808279.097010002</v>
      </c>
      <c r="K16" s="468">
        <v>78158770</v>
      </c>
      <c r="L16" s="468">
        <v>81034570</v>
      </c>
      <c r="M16" s="468">
        <v>65333314</v>
      </c>
      <c r="N16" s="23">
        <v>48738760.552320004</v>
      </c>
      <c r="O16" s="468">
        <v>47627198</v>
      </c>
      <c r="P16" s="468">
        <v>76244592</v>
      </c>
      <c r="Q16" s="468">
        <v>79702840</v>
      </c>
      <c r="R16" s="468">
        <v>0</v>
      </c>
      <c r="S16" s="468">
        <v>0</v>
      </c>
      <c r="T16" s="468">
        <v>645391170.08368993</v>
      </c>
      <c r="U16" s="469"/>
      <c r="V16" s="188"/>
      <c r="W16" s="43">
        <v>-140696405.70000005</v>
      </c>
      <c r="X16" s="1">
        <v>140602822</v>
      </c>
    </row>
    <row r="17" spans="2:28" x14ac:dyDescent="0.2">
      <c r="B17" s="452"/>
      <c r="C17" s="171"/>
      <c r="E17" s="180" t="s">
        <v>517</v>
      </c>
      <c r="F17" s="470"/>
      <c r="G17" s="463">
        <v>233027798</v>
      </c>
      <c r="H17" s="464">
        <v>4206399.5629699994</v>
      </c>
      <c r="I17" s="464">
        <v>1879102.8713900005</v>
      </c>
      <c r="J17" s="464">
        <v>22441442.097009998</v>
      </c>
      <c r="K17" s="464">
        <v>31925505</v>
      </c>
      <c r="L17" s="464">
        <v>31148936</v>
      </c>
      <c r="M17" s="464">
        <v>20070544</v>
      </c>
      <c r="N17" s="125">
        <v>3518743.5523200016</v>
      </c>
      <c r="O17" s="464">
        <v>1599356</v>
      </c>
      <c r="P17" s="464">
        <v>25702350</v>
      </c>
      <c r="Q17" s="464">
        <v>33320221</v>
      </c>
      <c r="R17" s="464">
        <v>0</v>
      </c>
      <c r="S17" s="464">
        <v>0</v>
      </c>
      <c r="T17" s="125">
        <v>175812600.08368999</v>
      </c>
      <c r="U17" s="461"/>
      <c r="V17" s="449"/>
      <c r="W17" s="43">
        <v>-48365190.699999988</v>
      </c>
      <c r="X17" s="1">
        <v>48490367</v>
      </c>
      <c r="Y17" s="1"/>
    </row>
    <row r="18" spans="2:28" x14ac:dyDescent="0.2">
      <c r="B18" s="452"/>
      <c r="C18" s="171"/>
      <c r="E18" s="180" t="s">
        <v>518</v>
      </c>
      <c r="F18" s="43"/>
      <c r="G18" s="463">
        <v>520717021</v>
      </c>
      <c r="H18" s="464">
        <v>44872627</v>
      </c>
      <c r="I18" s="464">
        <v>44872627</v>
      </c>
      <c r="J18" s="464">
        <v>44872627</v>
      </c>
      <c r="K18" s="464">
        <v>44872627</v>
      </c>
      <c r="L18" s="464">
        <v>44872627</v>
      </c>
      <c r="M18" s="464">
        <v>44872627</v>
      </c>
      <c r="N18" s="125">
        <v>44872627</v>
      </c>
      <c r="O18" s="464">
        <v>44872627</v>
      </c>
      <c r="P18" s="464">
        <v>44872672</v>
      </c>
      <c r="Q18" s="464">
        <v>44872627</v>
      </c>
      <c r="R18" s="464">
        <v>0</v>
      </c>
      <c r="S18" s="464">
        <v>0</v>
      </c>
      <c r="T18" s="125">
        <v>448726315</v>
      </c>
      <c r="U18" s="461"/>
      <c r="V18" s="449"/>
      <c r="W18" s="43">
        <v>-84258950</v>
      </c>
      <c r="X18" s="1">
        <v>84258950</v>
      </c>
      <c r="Y18" s="1"/>
      <c r="Z18" s="1"/>
    </row>
    <row r="19" spans="2:28" ht="14.45" customHeight="1" x14ac:dyDescent="0.2">
      <c r="B19" s="452"/>
      <c r="C19" s="171"/>
      <c r="E19" s="180" t="s">
        <v>519</v>
      </c>
      <c r="G19" s="463">
        <v>14026878</v>
      </c>
      <c r="H19" s="464">
        <v>0</v>
      </c>
      <c r="I19" s="464">
        <v>0</v>
      </c>
      <c r="J19" s="464">
        <v>0</v>
      </c>
      <c r="K19" s="464">
        <v>0</v>
      </c>
      <c r="L19" s="464">
        <v>4675628</v>
      </c>
      <c r="M19" s="464">
        <v>0</v>
      </c>
      <c r="N19" s="125">
        <v>0</v>
      </c>
      <c r="O19" s="464">
        <v>0</v>
      </c>
      <c r="P19" s="464">
        <v>4675628</v>
      </c>
      <c r="Q19" s="464">
        <v>0</v>
      </c>
      <c r="R19" s="464">
        <v>0</v>
      </c>
      <c r="S19" s="464">
        <v>0</v>
      </c>
      <c r="T19" s="125">
        <v>9351256</v>
      </c>
      <c r="U19" s="461"/>
      <c r="V19" s="449"/>
      <c r="W19" s="43">
        <v>-4388931</v>
      </c>
      <c r="X19" s="1">
        <v>4388931</v>
      </c>
      <c r="Y19" s="1"/>
      <c r="AB19" s="180">
        <v>1000</v>
      </c>
    </row>
    <row r="20" spans="2:28" ht="14.45" customHeight="1" x14ac:dyDescent="0.2">
      <c r="B20" s="452"/>
      <c r="C20" s="171"/>
      <c r="E20" s="180" t="s">
        <v>520</v>
      </c>
      <c r="G20" s="463">
        <v>10174611</v>
      </c>
      <c r="H20" s="464">
        <v>1617743</v>
      </c>
      <c r="I20" s="464">
        <v>1617741</v>
      </c>
      <c r="J20" s="464">
        <v>1118322</v>
      </c>
      <c r="K20" s="464">
        <v>1017741</v>
      </c>
      <c r="L20" s="464">
        <v>0</v>
      </c>
      <c r="M20" s="464">
        <v>0</v>
      </c>
      <c r="N20" s="125">
        <v>217362</v>
      </c>
      <c r="O20" s="464">
        <v>795000</v>
      </c>
      <c r="P20" s="464">
        <v>584142</v>
      </c>
      <c r="Q20" s="464">
        <v>1184144</v>
      </c>
      <c r="R20" s="464">
        <v>0</v>
      </c>
      <c r="S20" s="464">
        <v>0</v>
      </c>
      <c r="T20" s="125">
        <v>8152195</v>
      </c>
      <c r="U20" s="461"/>
      <c r="V20" s="449"/>
      <c r="W20" s="43">
        <v>-2833959</v>
      </c>
      <c r="X20" s="1">
        <v>2833959</v>
      </c>
      <c r="Y20" s="1"/>
    </row>
    <row r="21" spans="2:28" x14ac:dyDescent="0.2">
      <c r="B21" s="452"/>
      <c r="C21" s="171"/>
      <c r="E21" s="180" t="s">
        <v>521</v>
      </c>
      <c r="G21" s="463">
        <v>4570953</v>
      </c>
      <c r="H21" s="464">
        <v>344425</v>
      </c>
      <c r="I21" s="464">
        <v>332181</v>
      </c>
      <c r="J21" s="464">
        <v>375888</v>
      </c>
      <c r="K21" s="464">
        <v>342897</v>
      </c>
      <c r="L21" s="464">
        <v>337379</v>
      </c>
      <c r="M21" s="464">
        <v>390143</v>
      </c>
      <c r="N21" s="125">
        <v>130028</v>
      </c>
      <c r="O21" s="464">
        <v>360215</v>
      </c>
      <c r="P21" s="464">
        <v>409800</v>
      </c>
      <c r="Q21" s="464">
        <v>325848</v>
      </c>
      <c r="R21" s="464">
        <v>0</v>
      </c>
      <c r="S21" s="464">
        <v>0</v>
      </c>
      <c r="T21" s="125">
        <v>3348804</v>
      </c>
      <c r="U21" s="461"/>
      <c r="V21" s="449"/>
      <c r="W21" s="43">
        <v>-849375</v>
      </c>
      <c r="X21" s="1">
        <v>630615</v>
      </c>
      <c r="Y21" s="1"/>
    </row>
    <row r="22" spans="2:28" x14ac:dyDescent="0.2">
      <c r="B22" s="452"/>
      <c r="D22" s="182"/>
      <c r="G22" s="467"/>
      <c r="H22" s="468"/>
      <c r="I22" s="468"/>
      <c r="J22" s="468"/>
      <c r="K22" s="468"/>
      <c r="L22" s="468"/>
      <c r="M22" s="468"/>
      <c r="N22" s="23"/>
      <c r="O22" s="468"/>
      <c r="P22" s="468"/>
      <c r="Q22" s="468"/>
      <c r="R22" s="468"/>
      <c r="S22" s="468"/>
      <c r="T22" s="468"/>
      <c r="U22" s="461"/>
      <c r="V22" s="449"/>
      <c r="W22" s="43"/>
      <c r="X22" s="1"/>
    </row>
    <row r="23" spans="2:28" hidden="1" x14ac:dyDescent="0.2">
      <c r="B23" s="452"/>
      <c r="F23" s="460"/>
      <c r="G23" s="463"/>
      <c r="H23" s="464"/>
      <c r="I23" s="464"/>
      <c r="J23" s="464"/>
      <c r="K23" s="464"/>
      <c r="L23" s="464"/>
      <c r="M23" s="464"/>
      <c r="N23" s="125"/>
      <c r="O23" s="464"/>
      <c r="P23" s="464"/>
      <c r="Q23" s="464"/>
      <c r="R23" s="464"/>
      <c r="S23" s="464"/>
      <c r="T23" s="464"/>
      <c r="U23" s="461"/>
      <c r="V23" s="449"/>
      <c r="W23" s="43">
        <v>0</v>
      </c>
      <c r="X23" s="1">
        <v>0</v>
      </c>
    </row>
    <row r="24" spans="2:28" x14ac:dyDescent="0.2">
      <c r="B24" s="452"/>
      <c r="D24" s="180" t="s">
        <v>248</v>
      </c>
      <c r="G24" s="463">
        <v>-2108558</v>
      </c>
      <c r="H24" s="464">
        <v>0</v>
      </c>
      <c r="I24" s="464">
        <v>0</v>
      </c>
      <c r="J24" s="464">
        <v>0</v>
      </c>
      <c r="K24" s="464">
        <v>0</v>
      </c>
      <c r="L24" s="464">
        <v>0</v>
      </c>
      <c r="M24" s="464">
        <v>0</v>
      </c>
      <c r="N24" s="125">
        <v>0</v>
      </c>
      <c r="O24" s="464">
        <v>0</v>
      </c>
      <c r="P24" s="464">
        <v>0</v>
      </c>
      <c r="Q24" s="464">
        <v>0</v>
      </c>
      <c r="R24" s="464"/>
      <c r="S24" s="464"/>
      <c r="T24" s="464">
        <v>0</v>
      </c>
      <c r="U24" s="461"/>
      <c r="V24" s="449"/>
      <c r="W24" s="43">
        <v>0</v>
      </c>
      <c r="X24" s="1">
        <v>0</v>
      </c>
    </row>
    <row r="25" spans="2:28" s="182" customFormat="1" x14ac:dyDescent="0.2">
      <c r="B25" s="466"/>
      <c r="D25" s="210"/>
      <c r="E25" s="180"/>
      <c r="F25" s="449"/>
      <c r="G25" s="463"/>
      <c r="H25" s="468"/>
      <c r="I25" s="468"/>
      <c r="J25" s="468"/>
      <c r="K25" s="468"/>
      <c r="L25" s="468"/>
      <c r="M25" s="464"/>
      <c r="N25" s="23"/>
      <c r="O25" s="464"/>
      <c r="P25" s="464"/>
      <c r="Q25" s="464"/>
      <c r="R25" s="468"/>
      <c r="S25" s="468"/>
      <c r="T25" s="125"/>
      <c r="U25" s="469"/>
      <c r="V25" s="188"/>
      <c r="W25" s="43"/>
      <c r="X25" s="1"/>
    </row>
    <row r="26" spans="2:28" s="182" customFormat="1" x14ac:dyDescent="0.2">
      <c r="B26" s="466"/>
      <c r="C26" s="173"/>
      <c r="E26" s="10"/>
      <c r="F26" s="188"/>
      <c r="G26" s="471"/>
      <c r="H26" s="472"/>
      <c r="I26" s="472"/>
      <c r="J26" s="472"/>
      <c r="K26" s="472"/>
      <c r="L26" s="472"/>
      <c r="M26" s="472"/>
      <c r="N26" s="472"/>
      <c r="O26" s="472"/>
      <c r="P26" s="472"/>
      <c r="Q26" s="472"/>
      <c r="R26" s="472"/>
      <c r="S26" s="472"/>
      <c r="T26" s="472"/>
      <c r="U26" s="469"/>
      <c r="V26" s="188"/>
      <c r="W26" s="43"/>
      <c r="X26" s="1"/>
    </row>
    <row r="27" spans="2:28" s="182" customFormat="1" x14ac:dyDescent="0.2">
      <c r="B27" s="466"/>
      <c r="C27" s="173"/>
      <c r="F27" s="188"/>
      <c r="G27" s="26"/>
      <c r="H27" s="23"/>
      <c r="I27" s="23"/>
      <c r="J27" s="23"/>
      <c r="K27" s="23"/>
      <c r="L27" s="23"/>
      <c r="M27" s="23"/>
      <c r="N27" s="23"/>
      <c r="O27" s="23"/>
      <c r="P27" s="23"/>
      <c r="Q27" s="23"/>
      <c r="R27" s="23"/>
      <c r="S27" s="23"/>
      <c r="T27" s="23"/>
      <c r="U27" s="469"/>
      <c r="V27" s="188"/>
      <c r="W27" s="43"/>
      <c r="X27" s="1"/>
    </row>
    <row r="28" spans="2:28" s="182" customFormat="1" x14ac:dyDescent="0.2">
      <c r="B28" s="466"/>
      <c r="C28" s="173" t="s">
        <v>522</v>
      </c>
      <c r="F28" s="188"/>
      <c r="G28" s="26">
        <v>-707826711.66846108</v>
      </c>
      <c r="H28" s="23">
        <v>-85315225</v>
      </c>
      <c r="I28" s="23">
        <v>-51703302</v>
      </c>
      <c r="J28" s="23">
        <v>-25825543</v>
      </c>
      <c r="K28" s="23">
        <v>-95400176</v>
      </c>
      <c r="L28" s="23">
        <v>-100083155</v>
      </c>
      <c r="M28" s="23">
        <v>-32516240</v>
      </c>
      <c r="N28" s="23">
        <v>-62963917</v>
      </c>
      <c r="O28" s="23">
        <v>-21910771</v>
      </c>
      <c r="P28" s="23">
        <v>10985073</v>
      </c>
      <c r="Q28" s="23">
        <v>-110001731</v>
      </c>
      <c r="R28" s="23">
        <v>0</v>
      </c>
      <c r="S28" s="23">
        <v>0</v>
      </c>
      <c r="T28" s="23">
        <v>-574734987</v>
      </c>
      <c r="U28" s="469"/>
      <c r="V28" s="188"/>
      <c r="W28" s="43">
        <v>8300963.7651195526</v>
      </c>
      <c r="X28" s="1">
        <v>-6213662</v>
      </c>
    </row>
    <row r="29" spans="2:28" s="182" customFormat="1" x14ac:dyDescent="0.2">
      <c r="B29" s="466"/>
      <c r="C29" s="173"/>
      <c r="E29" s="10"/>
      <c r="F29" s="188"/>
      <c r="G29" s="26"/>
      <c r="H29" s="23"/>
      <c r="I29" s="23"/>
      <c r="J29" s="23"/>
      <c r="K29" s="23"/>
      <c r="L29" s="23"/>
      <c r="M29" s="23"/>
      <c r="N29" s="23"/>
      <c r="O29" s="23"/>
      <c r="P29" s="23"/>
      <c r="Q29" s="23"/>
      <c r="R29" s="23"/>
      <c r="S29" s="23"/>
      <c r="T29" s="23"/>
      <c r="U29" s="469"/>
      <c r="V29" s="188"/>
      <c r="W29" s="43"/>
      <c r="X29" s="1"/>
    </row>
    <row r="30" spans="2:28" s="182" customFormat="1" x14ac:dyDescent="0.2">
      <c r="C30" s="173" t="s">
        <v>523</v>
      </c>
      <c r="F30" s="460"/>
      <c r="G30" s="26">
        <v>707826711.66846108</v>
      </c>
      <c r="H30" s="23">
        <v>85315225</v>
      </c>
      <c r="I30" s="23">
        <v>51703301.999999993</v>
      </c>
      <c r="J30" s="23">
        <v>25825543</v>
      </c>
      <c r="K30" s="23">
        <v>95400176</v>
      </c>
      <c r="L30" s="23">
        <v>100083155</v>
      </c>
      <c r="M30" s="23">
        <v>32516240</v>
      </c>
      <c r="N30" s="23">
        <v>62963917</v>
      </c>
      <c r="O30" s="23">
        <v>21910771</v>
      </c>
      <c r="P30" s="23">
        <v>-10985073</v>
      </c>
      <c r="Q30" s="23">
        <v>110001731</v>
      </c>
      <c r="R30" s="23">
        <v>378365248</v>
      </c>
      <c r="S30" s="23">
        <v>0</v>
      </c>
      <c r="T30" s="23">
        <v>574734987</v>
      </c>
      <c r="U30" s="469"/>
      <c r="V30" s="188"/>
      <c r="W30" s="43">
        <v>-8300963.7651195526</v>
      </c>
      <c r="X30" s="1">
        <v>8301015.7651195526</v>
      </c>
      <c r="Z30" s="10">
        <v>0</v>
      </c>
    </row>
    <row r="31" spans="2:28" s="182" customFormat="1" x14ac:dyDescent="0.2">
      <c r="C31" s="173"/>
      <c r="F31" s="188"/>
      <c r="G31" s="471"/>
      <c r="H31" s="472"/>
      <c r="I31" s="472"/>
      <c r="J31" s="472"/>
      <c r="K31" s="472"/>
      <c r="L31" s="472"/>
      <c r="M31" s="472"/>
      <c r="N31" s="472"/>
      <c r="O31" s="472"/>
      <c r="P31" s="472"/>
      <c r="Q31" s="472"/>
      <c r="R31" s="472"/>
      <c r="S31" s="472"/>
      <c r="T31" s="472"/>
      <c r="U31" s="469"/>
      <c r="V31" s="188"/>
      <c r="W31" s="43"/>
      <c r="X31" s="1"/>
      <c r="AA31" s="10"/>
    </row>
    <row r="32" spans="2:28" s="182" customFormat="1" x14ac:dyDescent="0.2">
      <c r="C32" s="173"/>
      <c r="F32" s="188"/>
      <c r="G32" s="26"/>
      <c r="H32" s="23"/>
      <c r="I32" s="23"/>
      <c r="J32" s="23"/>
      <c r="K32" s="23"/>
      <c r="L32" s="23"/>
      <c r="M32" s="23"/>
      <c r="N32" s="23"/>
      <c r="O32" s="23"/>
      <c r="P32" s="23"/>
      <c r="Q32" s="23"/>
      <c r="R32" s="23"/>
      <c r="S32" s="23"/>
      <c r="T32" s="23"/>
      <c r="U32" s="469"/>
      <c r="V32" s="188"/>
      <c r="W32" s="43"/>
      <c r="X32" s="1"/>
    </row>
    <row r="33" spans="3:26" s="182" customFormat="1" x14ac:dyDescent="0.2">
      <c r="C33" s="173" t="s">
        <v>291</v>
      </c>
      <c r="F33" s="188"/>
      <c r="G33" s="26">
        <v>143000000</v>
      </c>
      <c r="H33" s="23">
        <v>37582688</v>
      </c>
      <c r="I33" s="23">
        <v>16125619</v>
      </c>
      <c r="J33" s="23">
        <v>11567828</v>
      </c>
      <c r="K33" s="23">
        <v>26289577</v>
      </c>
      <c r="L33" s="23">
        <v>-5974831</v>
      </c>
      <c r="M33" s="23">
        <v>1315362</v>
      </c>
      <c r="N33" s="23">
        <v>31098565</v>
      </c>
      <c r="O33" s="23">
        <v>295423</v>
      </c>
      <c r="P33" s="23">
        <v>-33015782</v>
      </c>
      <c r="Q33" s="23">
        <v>15701292</v>
      </c>
      <c r="R33" s="23">
        <v>0</v>
      </c>
      <c r="S33" s="23">
        <v>0</v>
      </c>
      <c r="T33" s="23">
        <v>100985741</v>
      </c>
      <c r="U33" s="469"/>
      <c r="V33" s="188"/>
      <c r="W33" s="43">
        <v>38357555</v>
      </c>
      <c r="X33" s="1">
        <v>-38357555</v>
      </c>
    </row>
    <row r="34" spans="3:26" s="182" customFormat="1" x14ac:dyDescent="0.2">
      <c r="C34" s="173"/>
      <c r="F34" s="188"/>
      <c r="G34" s="26"/>
      <c r="H34" s="23"/>
      <c r="I34" s="23"/>
      <c r="J34" s="23"/>
      <c r="K34" s="23"/>
      <c r="L34" s="23"/>
      <c r="M34" s="23"/>
      <c r="N34" s="23"/>
      <c r="O34" s="23"/>
      <c r="P34" s="23"/>
      <c r="Q34" s="23"/>
      <c r="R34" s="23"/>
      <c r="S34" s="23"/>
      <c r="T34" s="23"/>
      <c r="U34" s="469"/>
      <c r="V34" s="188"/>
      <c r="W34" s="43"/>
      <c r="X34" s="1"/>
    </row>
    <row r="35" spans="3:26" s="182" customFormat="1" x14ac:dyDescent="0.2">
      <c r="C35" s="173" t="s">
        <v>299</v>
      </c>
      <c r="F35" s="188"/>
      <c r="G35" s="26">
        <v>410035000</v>
      </c>
      <c r="H35" s="57">
        <v>32850713</v>
      </c>
      <c r="I35" s="57">
        <v>40638036.743999995</v>
      </c>
      <c r="J35" s="57">
        <v>43402900</v>
      </c>
      <c r="K35" s="57">
        <v>60600922</v>
      </c>
      <c r="L35" s="57">
        <v>37229982</v>
      </c>
      <c r="M35" s="57">
        <v>50427153</v>
      </c>
      <c r="N35" s="57">
        <v>50571945</v>
      </c>
      <c r="O35" s="57">
        <v>39211461</v>
      </c>
      <c r="P35" s="57">
        <v>45711722</v>
      </c>
      <c r="Q35" s="57">
        <v>34673258</v>
      </c>
      <c r="R35" s="57">
        <v>0</v>
      </c>
      <c r="S35" s="57">
        <v>0</v>
      </c>
      <c r="T35" s="23">
        <v>435318092.74399996</v>
      </c>
      <c r="U35" s="469"/>
      <c r="V35" s="188"/>
      <c r="W35" s="473">
        <v>-54576205</v>
      </c>
      <c r="X35" s="1">
        <v>54576205</v>
      </c>
    </row>
    <row r="36" spans="3:26" x14ac:dyDescent="0.2">
      <c r="C36" s="171"/>
      <c r="G36" s="66"/>
      <c r="H36" s="63"/>
      <c r="I36" s="63"/>
      <c r="J36" s="63"/>
      <c r="K36" s="63"/>
      <c r="L36" s="63"/>
      <c r="M36" s="63"/>
      <c r="N36" s="63"/>
      <c r="O36" s="63"/>
      <c r="P36" s="63"/>
      <c r="Q36" s="63"/>
      <c r="R36" s="63"/>
      <c r="S36" s="63"/>
      <c r="T36" s="63"/>
      <c r="U36" s="461"/>
      <c r="V36" s="449"/>
      <c r="W36" s="43"/>
      <c r="X36" s="1"/>
    </row>
    <row r="37" spans="3:26" x14ac:dyDescent="0.2">
      <c r="C37" s="171"/>
      <c r="D37" s="180" t="s">
        <v>524</v>
      </c>
      <c r="G37" s="66">
        <v>410035000</v>
      </c>
      <c r="H37" s="63">
        <v>32850713</v>
      </c>
      <c r="I37" s="63">
        <v>40638036.743999995</v>
      </c>
      <c r="J37" s="63">
        <v>43402900</v>
      </c>
      <c r="K37" s="63">
        <v>60600922</v>
      </c>
      <c r="L37" s="63">
        <v>37229982</v>
      </c>
      <c r="M37" s="63">
        <v>50427153</v>
      </c>
      <c r="N37" s="63">
        <v>50571945</v>
      </c>
      <c r="O37" s="63">
        <v>39125584</v>
      </c>
      <c r="P37" s="63">
        <v>45797599</v>
      </c>
      <c r="Q37" s="63">
        <v>34673258</v>
      </c>
      <c r="R37" s="63">
        <v>0</v>
      </c>
      <c r="S37" s="63">
        <v>0</v>
      </c>
      <c r="T37" s="125">
        <v>435318092.74399996</v>
      </c>
      <c r="U37" s="461"/>
      <c r="V37" s="449"/>
      <c r="W37" s="473">
        <v>-54576205</v>
      </c>
      <c r="X37" s="1">
        <v>54576205</v>
      </c>
    </row>
    <row r="38" spans="3:26" x14ac:dyDescent="0.2">
      <c r="C38" s="171"/>
      <c r="E38" s="180" t="s">
        <v>525</v>
      </c>
      <c r="G38" s="465">
        <v>514767000</v>
      </c>
      <c r="H38" s="125">
        <v>38350619</v>
      </c>
      <c r="I38" s="125">
        <v>45031287.743999995</v>
      </c>
      <c r="J38" s="125">
        <v>49600848</v>
      </c>
      <c r="K38" s="125">
        <v>69933031</v>
      </c>
      <c r="L38" s="125">
        <v>44319358</v>
      </c>
      <c r="M38" s="125">
        <v>61486843</v>
      </c>
      <c r="N38" s="125">
        <v>59931421</v>
      </c>
      <c r="O38" s="125">
        <v>46634910</v>
      </c>
      <c r="P38" s="125">
        <v>52191398</v>
      </c>
      <c r="Q38" s="125">
        <v>39060638</v>
      </c>
      <c r="R38" s="125">
        <v>0</v>
      </c>
      <c r="S38" s="125">
        <v>0</v>
      </c>
      <c r="T38" s="125">
        <v>506540353.74399996</v>
      </c>
      <c r="U38" s="461"/>
      <c r="V38" s="449"/>
      <c r="W38" s="473">
        <v>-62734381</v>
      </c>
      <c r="X38" s="1">
        <v>62734381</v>
      </c>
    </row>
    <row r="39" spans="3:26" x14ac:dyDescent="0.2">
      <c r="C39" s="171"/>
      <c r="E39" s="180" t="s">
        <v>526</v>
      </c>
      <c r="G39" s="465">
        <v>-52267000</v>
      </c>
      <c r="H39" s="125">
        <v>-4299769</v>
      </c>
      <c r="I39" s="125">
        <v>-4058204</v>
      </c>
      <c r="J39" s="125">
        <v>-6085389</v>
      </c>
      <c r="K39" s="125">
        <v>-8992564</v>
      </c>
      <c r="L39" s="125">
        <v>-6877121</v>
      </c>
      <c r="M39" s="125">
        <v>-10836667</v>
      </c>
      <c r="N39" s="125">
        <v>-9026146</v>
      </c>
      <c r="O39" s="125">
        <v>-7195171</v>
      </c>
      <c r="P39" s="125">
        <v>-6333842</v>
      </c>
      <c r="Q39" s="125">
        <v>-3989426</v>
      </c>
      <c r="R39" s="125">
        <v>0</v>
      </c>
      <c r="S39" s="125">
        <v>0</v>
      </c>
      <c r="T39" s="125">
        <v>-67694299</v>
      </c>
      <c r="U39" s="461"/>
      <c r="V39" s="449"/>
      <c r="W39" s="473">
        <v>7620863</v>
      </c>
      <c r="X39" s="1">
        <v>-7620863</v>
      </c>
    </row>
    <row r="40" spans="3:26" hidden="1" x14ac:dyDescent="0.2">
      <c r="C40" s="171"/>
      <c r="E40" s="180" t="s">
        <v>527</v>
      </c>
      <c r="G40" s="465"/>
      <c r="H40" s="125"/>
      <c r="I40" s="125"/>
      <c r="J40" s="125"/>
      <c r="K40" s="125"/>
      <c r="L40" s="125"/>
      <c r="M40" s="125"/>
      <c r="N40" s="125"/>
      <c r="O40" s="125"/>
      <c r="P40" s="125"/>
      <c r="Q40" s="125"/>
      <c r="R40" s="125"/>
      <c r="S40" s="125"/>
      <c r="T40" s="125"/>
      <c r="U40" s="461"/>
      <c r="V40" s="449"/>
      <c r="W40" s="43"/>
      <c r="X40" s="1"/>
    </row>
    <row r="41" spans="3:26" x14ac:dyDescent="0.2">
      <c r="C41" s="171"/>
      <c r="E41" s="180" t="s">
        <v>465</v>
      </c>
      <c r="G41" s="465">
        <v>-52465000</v>
      </c>
      <c r="H41" s="125">
        <v>-1200137</v>
      </c>
      <c r="I41" s="125">
        <v>-335047</v>
      </c>
      <c r="J41" s="125">
        <v>-112559</v>
      </c>
      <c r="K41" s="125">
        <v>-339545</v>
      </c>
      <c r="L41" s="125">
        <v>-212255</v>
      </c>
      <c r="M41" s="125">
        <v>-223023</v>
      </c>
      <c r="N41" s="125">
        <v>-333330</v>
      </c>
      <c r="O41" s="125">
        <v>-314155</v>
      </c>
      <c r="P41" s="125">
        <v>-59957</v>
      </c>
      <c r="Q41" s="125">
        <v>-397954</v>
      </c>
      <c r="R41" s="125">
        <v>0</v>
      </c>
      <c r="S41" s="125">
        <v>0</v>
      </c>
      <c r="T41" s="125">
        <v>-3527962</v>
      </c>
      <c r="U41" s="461"/>
      <c r="V41" s="449"/>
      <c r="W41" s="43">
        <v>537313</v>
      </c>
      <c r="X41" s="1">
        <v>-537313</v>
      </c>
    </row>
    <row r="42" spans="3:26" hidden="1" x14ac:dyDescent="0.2">
      <c r="C42" s="171"/>
      <c r="E42" s="180" t="s">
        <v>528</v>
      </c>
      <c r="G42" s="465">
        <v>0</v>
      </c>
      <c r="H42" s="125">
        <v>0</v>
      </c>
      <c r="I42" s="125">
        <v>0</v>
      </c>
      <c r="J42" s="125">
        <v>0</v>
      </c>
      <c r="K42" s="125">
        <v>0</v>
      </c>
      <c r="L42" s="125">
        <v>0</v>
      </c>
      <c r="M42" s="125">
        <v>0</v>
      </c>
      <c r="N42" s="125">
        <v>0</v>
      </c>
      <c r="O42" s="125">
        <v>0</v>
      </c>
      <c r="P42" s="125">
        <v>0</v>
      </c>
      <c r="Q42" s="125">
        <v>0</v>
      </c>
      <c r="R42" s="125">
        <v>0</v>
      </c>
      <c r="S42" s="125">
        <v>0</v>
      </c>
      <c r="T42" s="125">
        <v>0</v>
      </c>
      <c r="U42" s="461"/>
      <c r="V42" s="449"/>
      <c r="W42" s="43">
        <v>0</v>
      </c>
      <c r="X42" s="1">
        <v>0</v>
      </c>
    </row>
    <row r="43" spans="3:26" x14ac:dyDescent="0.2">
      <c r="C43" s="171"/>
      <c r="G43" s="465"/>
      <c r="H43" s="125"/>
      <c r="I43" s="125"/>
      <c r="J43" s="125"/>
      <c r="K43" s="125"/>
      <c r="L43" s="125"/>
      <c r="M43" s="125"/>
      <c r="N43" s="125"/>
      <c r="O43" s="125"/>
      <c r="P43" s="125"/>
      <c r="Q43" s="125"/>
      <c r="R43" s="125"/>
      <c r="S43" s="125"/>
      <c r="T43" s="125"/>
      <c r="U43" s="461"/>
      <c r="V43" s="449"/>
      <c r="W43" s="43"/>
      <c r="X43" s="1"/>
    </row>
    <row r="44" spans="3:26" x14ac:dyDescent="0.2">
      <c r="C44" s="171"/>
      <c r="D44" s="180" t="s">
        <v>529</v>
      </c>
      <c r="G44" s="465">
        <v>0</v>
      </c>
      <c r="H44" s="63">
        <v>0</v>
      </c>
      <c r="I44" s="63">
        <v>0</v>
      </c>
      <c r="J44" s="63">
        <v>0</v>
      </c>
      <c r="K44" s="63">
        <v>0</v>
      </c>
      <c r="L44" s="63">
        <v>0</v>
      </c>
      <c r="M44" s="63">
        <v>0</v>
      </c>
      <c r="N44" s="63">
        <v>0</v>
      </c>
      <c r="O44" s="63">
        <v>0</v>
      </c>
      <c r="P44" s="63">
        <v>0</v>
      </c>
      <c r="Q44" s="63">
        <v>0</v>
      </c>
      <c r="R44" s="63">
        <v>0</v>
      </c>
      <c r="S44" s="63">
        <v>0</v>
      </c>
      <c r="T44" s="125">
        <v>0</v>
      </c>
      <c r="U44" s="461"/>
      <c r="V44" s="449"/>
      <c r="W44" s="43">
        <v>0</v>
      </c>
      <c r="X44" s="1">
        <v>0</v>
      </c>
    </row>
    <row r="45" spans="3:26" x14ac:dyDescent="0.2">
      <c r="C45" s="171"/>
      <c r="E45" s="180" t="s">
        <v>525</v>
      </c>
      <c r="G45" s="465">
        <v>0</v>
      </c>
      <c r="H45" s="125">
        <v>0</v>
      </c>
      <c r="I45" s="125">
        <v>0</v>
      </c>
      <c r="J45" s="125">
        <v>0</v>
      </c>
      <c r="K45" s="125">
        <v>0</v>
      </c>
      <c r="L45" s="125">
        <v>0</v>
      </c>
      <c r="M45" s="125">
        <v>0</v>
      </c>
      <c r="N45" s="125">
        <v>0</v>
      </c>
      <c r="O45" s="125">
        <v>0</v>
      </c>
      <c r="P45" s="125">
        <v>0</v>
      </c>
      <c r="Q45" s="125">
        <v>0</v>
      </c>
      <c r="R45" s="125">
        <v>0</v>
      </c>
      <c r="S45" s="125">
        <v>0</v>
      </c>
      <c r="T45" s="125">
        <v>0</v>
      </c>
      <c r="U45" s="461"/>
      <c r="V45" s="449"/>
      <c r="W45" s="43">
        <v>0</v>
      </c>
      <c r="X45" s="1">
        <v>0</v>
      </c>
    </row>
    <row r="46" spans="3:26" x14ac:dyDescent="0.2">
      <c r="C46" s="171"/>
      <c r="E46" s="180" t="s">
        <v>526</v>
      </c>
      <c r="G46" s="465">
        <v>0</v>
      </c>
      <c r="H46" s="125">
        <v>0</v>
      </c>
      <c r="I46" s="125">
        <v>0</v>
      </c>
      <c r="J46" s="125">
        <v>0</v>
      </c>
      <c r="K46" s="125">
        <v>0</v>
      </c>
      <c r="L46" s="125">
        <v>0</v>
      </c>
      <c r="M46" s="125">
        <v>0</v>
      </c>
      <c r="N46" s="125">
        <v>0</v>
      </c>
      <c r="O46" s="125">
        <v>0</v>
      </c>
      <c r="P46" s="125">
        <v>0</v>
      </c>
      <c r="Q46" s="125">
        <v>0</v>
      </c>
      <c r="R46" s="125">
        <v>0</v>
      </c>
      <c r="S46" s="125">
        <v>0</v>
      </c>
      <c r="T46" s="125">
        <v>0</v>
      </c>
      <c r="U46" s="461"/>
      <c r="V46" s="449"/>
      <c r="W46" s="43">
        <v>0</v>
      </c>
      <c r="X46" s="1">
        <v>0</v>
      </c>
      <c r="Z46" s="1"/>
    </row>
    <row r="47" spans="3:26" x14ac:dyDescent="0.2">
      <c r="C47" s="171"/>
      <c r="E47" s="180" t="s">
        <v>530</v>
      </c>
      <c r="G47" s="465">
        <v>0</v>
      </c>
      <c r="H47" s="125">
        <v>0</v>
      </c>
      <c r="I47" s="125">
        <v>0</v>
      </c>
      <c r="J47" s="125">
        <v>0</v>
      </c>
      <c r="K47" s="125">
        <v>0</v>
      </c>
      <c r="L47" s="125">
        <v>0</v>
      </c>
      <c r="M47" s="125">
        <v>0</v>
      </c>
      <c r="N47" s="125">
        <v>0</v>
      </c>
      <c r="O47" s="125">
        <v>0</v>
      </c>
      <c r="P47" s="125">
        <v>0</v>
      </c>
      <c r="Q47" s="125">
        <v>0</v>
      </c>
      <c r="R47" s="125">
        <v>0</v>
      </c>
      <c r="S47" s="125">
        <v>0</v>
      </c>
      <c r="T47" s="125">
        <v>0</v>
      </c>
      <c r="U47" s="461"/>
      <c r="V47" s="449"/>
      <c r="W47" s="43">
        <v>0</v>
      </c>
      <c r="X47" s="1">
        <v>0</v>
      </c>
    </row>
    <row r="48" spans="3:26" x14ac:dyDescent="0.2">
      <c r="C48" s="171"/>
      <c r="G48" s="465"/>
      <c r="H48" s="125"/>
      <c r="I48" s="125"/>
      <c r="J48" s="125"/>
      <c r="K48" s="125"/>
      <c r="L48" s="125"/>
      <c r="M48" s="125"/>
      <c r="N48" s="125"/>
      <c r="O48" s="125"/>
      <c r="P48" s="125"/>
      <c r="Q48" s="125"/>
      <c r="R48" s="125"/>
      <c r="S48" s="125"/>
      <c r="T48" s="125"/>
      <c r="U48" s="461"/>
      <c r="V48" s="449"/>
      <c r="W48" s="43"/>
      <c r="X48" s="1"/>
    </row>
    <row r="49" spans="3:24" x14ac:dyDescent="0.2">
      <c r="C49" s="171"/>
      <c r="D49" s="180" t="s">
        <v>531</v>
      </c>
      <c r="G49" s="465">
        <v>0</v>
      </c>
      <c r="H49" s="63">
        <v>0</v>
      </c>
      <c r="I49" s="63">
        <v>0</v>
      </c>
      <c r="J49" s="63">
        <v>0</v>
      </c>
      <c r="K49" s="63">
        <v>0</v>
      </c>
      <c r="L49" s="63">
        <v>0</v>
      </c>
      <c r="M49" s="63">
        <v>0</v>
      </c>
      <c r="N49" s="63">
        <v>0</v>
      </c>
      <c r="O49" s="63">
        <v>85877</v>
      </c>
      <c r="P49" s="63">
        <v>-85877</v>
      </c>
      <c r="Q49" s="63">
        <v>0</v>
      </c>
      <c r="R49" s="63">
        <v>0</v>
      </c>
      <c r="S49" s="63">
        <v>0</v>
      </c>
      <c r="T49" s="125">
        <v>0</v>
      </c>
      <c r="U49" s="461"/>
      <c r="V49" s="449"/>
      <c r="W49" s="43">
        <v>0</v>
      </c>
      <c r="X49" s="1">
        <v>0</v>
      </c>
    </row>
    <row r="50" spans="3:24" x14ac:dyDescent="0.2">
      <c r="C50" s="171"/>
      <c r="E50" s="180" t="s">
        <v>532</v>
      </c>
      <c r="G50" s="465">
        <v>0</v>
      </c>
      <c r="H50" s="125">
        <v>487336</v>
      </c>
      <c r="I50" s="125">
        <v>29682</v>
      </c>
      <c r="J50" s="125">
        <v>28489</v>
      </c>
      <c r="K50" s="125">
        <v>0</v>
      </c>
      <c r="L50" s="125">
        <v>41191</v>
      </c>
      <c r="M50" s="125">
        <v>18552</v>
      </c>
      <c r="N50" s="125">
        <v>0</v>
      </c>
      <c r="O50" s="125">
        <v>85877</v>
      </c>
      <c r="P50" s="125">
        <v>204461</v>
      </c>
      <c r="Q50" s="125">
        <v>132680</v>
      </c>
      <c r="R50" s="125">
        <v>0</v>
      </c>
      <c r="S50" s="125">
        <v>0</v>
      </c>
      <c r="T50" s="125">
        <v>1028268</v>
      </c>
      <c r="U50" s="461"/>
      <c r="V50" s="449"/>
      <c r="W50" s="43">
        <v>-663239</v>
      </c>
      <c r="X50" s="1">
        <v>663239</v>
      </c>
    </row>
    <row r="51" spans="3:24" x14ac:dyDescent="0.2">
      <c r="C51" s="171"/>
      <c r="E51" s="180" t="s">
        <v>533</v>
      </c>
      <c r="G51" s="465">
        <v>0</v>
      </c>
      <c r="H51" s="125">
        <v>-487336</v>
      </c>
      <c r="I51" s="125">
        <v>-29682</v>
      </c>
      <c r="J51" s="125">
        <v>-28489</v>
      </c>
      <c r="K51" s="125">
        <v>0</v>
      </c>
      <c r="L51" s="125">
        <v>-41191</v>
      </c>
      <c r="M51" s="125">
        <v>-18552</v>
      </c>
      <c r="N51" s="125">
        <v>0</v>
      </c>
      <c r="O51" s="125">
        <v>0</v>
      </c>
      <c r="P51" s="125">
        <v>-290338</v>
      </c>
      <c r="Q51" s="125">
        <v>-132680</v>
      </c>
      <c r="R51" s="125">
        <v>0</v>
      </c>
      <c r="S51" s="125">
        <v>0</v>
      </c>
      <c r="T51" s="125">
        <v>-1028268</v>
      </c>
      <c r="U51" s="461"/>
      <c r="V51" s="449"/>
      <c r="W51" s="43">
        <v>663239</v>
      </c>
      <c r="X51" s="1">
        <v>-663239</v>
      </c>
    </row>
    <row r="52" spans="3:24" x14ac:dyDescent="0.2">
      <c r="C52" s="171"/>
      <c r="G52" s="465"/>
      <c r="H52" s="125"/>
      <c r="I52" s="125"/>
      <c r="J52" s="125"/>
      <c r="K52" s="125"/>
      <c r="L52" s="125"/>
      <c r="M52" s="125"/>
      <c r="N52" s="125"/>
      <c r="O52" s="125"/>
      <c r="P52" s="125"/>
      <c r="Q52" s="125"/>
      <c r="R52" s="125"/>
      <c r="S52" s="125"/>
      <c r="T52" s="125"/>
      <c r="U52" s="461"/>
      <c r="V52" s="449"/>
      <c r="W52" s="43"/>
      <c r="X52" s="1"/>
    </row>
    <row r="53" spans="3:24" ht="12.75" hidden="1" customHeight="1" x14ac:dyDescent="0.2">
      <c r="C53" s="171"/>
      <c r="D53" s="180" t="s">
        <v>534</v>
      </c>
      <c r="G53" s="156">
        <v>0</v>
      </c>
      <c r="H53" s="102">
        <v>0</v>
      </c>
      <c r="I53" s="102">
        <v>0</v>
      </c>
      <c r="J53" s="102">
        <v>0</v>
      </c>
      <c r="K53" s="102">
        <v>0</v>
      </c>
      <c r="L53" s="102">
        <v>0</v>
      </c>
      <c r="M53" s="102">
        <v>0</v>
      </c>
      <c r="N53" s="102">
        <v>0</v>
      </c>
      <c r="O53" s="102">
        <v>0</v>
      </c>
      <c r="P53" s="102">
        <v>0</v>
      </c>
      <c r="Q53" s="102">
        <v>0</v>
      </c>
      <c r="R53" s="102">
        <v>0</v>
      </c>
      <c r="S53" s="102">
        <v>0</v>
      </c>
      <c r="T53" s="102">
        <v>0</v>
      </c>
      <c r="U53" s="461"/>
      <c r="V53" s="449"/>
      <c r="W53" s="43">
        <v>0</v>
      </c>
      <c r="X53" s="1">
        <v>0</v>
      </c>
    </row>
    <row r="54" spans="3:24" ht="12.75" hidden="1" customHeight="1" x14ac:dyDescent="0.2">
      <c r="C54" s="171"/>
      <c r="E54" s="180" t="s">
        <v>525</v>
      </c>
      <c r="G54" s="156">
        <v>0</v>
      </c>
      <c r="H54" s="102">
        <v>0</v>
      </c>
      <c r="I54" s="102">
        <v>0</v>
      </c>
      <c r="J54" s="102">
        <v>0</v>
      </c>
      <c r="K54" s="102">
        <v>0</v>
      </c>
      <c r="L54" s="102">
        <v>0</v>
      </c>
      <c r="M54" s="102">
        <v>0</v>
      </c>
      <c r="N54" s="102">
        <v>0</v>
      </c>
      <c r="O54" s="102">
        <v>0</v>
      </c>
      <c r="P54" s="102">
        <v>0</v>
      </c>
      <c r="Q54" s="102">
        <v>0</v>
      </c>
      <c r="R54" s="102">
        <v>0</v>
      </c>
      <c r="S54" s="102">
        <v>0</v>
      </c>
      <c r="T54" s="125">
        <v>0</v>
      </c>
      <c r="U54" s="461"/>
      <c r="V54" s="449"/>
      <c r="W54" s="43">
        <v>0</v>
      </c>
      <c r="X54" s="1">
        <v>0</v>
      </c>
    </row>
    <row r="55" spans="3:24" ht="12.75" hidden="1" customHeight="1" x14ac:dyDescent="0.2">
      <c r="C55" s="171"/>
      <c r="G55" s="465"/>
      <c r="H55" s="125"/>
      <c r="I55" s="125"/>
      <c r="J55" s="125"/>
      <c r="K55" s="125"/>
      <c r="L55" s="125"/>
      <c r="M55" s="125"/>
      <c r="N55" s="125"/>
      <c r="O55" s="125"/>
      <c r="P55" s="125"/>
      <c r="Q55" s="125"/>
      <c r="R55" s="125"/>
      <c r="S55" s="125"/>
      <c r="T55" s="125"/>
      <c r="U55" s="461"/>
      <c r="V55" s="449"/>
      <c r="W55" s="43">
        <v>0</v>
      </c>
      <c r="X55" s="1">
        <v>0</v>
      </c>
    </row>
    <row r="56" spans="3:24" s="182" customFormat="1" x14ac:dyDescent="0.2">
      <c r="C56" s="173" t="s">
        <v>315</v>
      </c>
      <c r="F56" s="188"/>
      <c r="G56" s="26">
        <v>106956000</v>
      </c>
      <c r="H56" s="23">
        <v>-777665</v>
      </c>
      <c r="I56" s="23">
        <v>-4931986</v>
      </c>
      <c r="J56" s="23">
        <v>-8699700</v>
      </c>
      <c r="K56" s="23">
        <v>86911584</v>
      </c>
      <c r="L56" s="23">
        <v>0</v>
      </c>
      <c r="M56" s="23">
        <v>0</v>
      </c>
      <c r="N56" s="23">
        <v>5008164</v>
      </c>
      <c r="O56" s="23">
        <v>-6967</v>
      </c>
      <c r="P56" s="23">
        <v>0</v>
      </c>
      <c r="Q56" s="23">
        <v>0</v>
      </c>
      <c r="R56" s="23">
        <v>0</v>
      </c>
      <c r="S56" s="23">
        <v>0</v>
      </c>
      <c r="T56" s="23">
        <v>77503430</v>
      </c>
      <c r="U56" s="469"/>
      <c r="V56" s="188"/>
      <c r="W56" s="43">
        <v>24692267</v>
      </c>
      <c r="X56" s="1">
        <v>-24692267</v>
      </c>
    </row>
    <row r="57" spans="3:24" x14ac:dyDescent="0.2">
      <c r="C57" s="171"/>
      <c r="G57" s="465"/>
      <c r="H57" s="125"/>
      <c r="I57" s="125"/>
      <c r="J57" s="125"/>
      <c r="K57" s="125"/>
      <c r="L57" s="125"/>
      <c r="M57" s="125"/>
      <c r="N57" s="125"/>
      <c r="O57" s="125"/>
      <c r="P57" s="125"/>
      <c r="Q57" s="125"/>
      <c r="R57" s="125"/>
      <c r="S57" s="125"/>
      <c r="T57" s="125"/>
      <c r="U57" s="461"/>
      <c r="V57" s="449"/>
      <c r="W57" s="43"/>
      <c r="X57" s="1"/>
    </row>
    <row r="58" spans="3:24" x14ac:dyDescent="0.2">
      <c r="C58" s="171"/>
      <c r="D58" s="180" t="s">
        <v>524</v>
      </c>
      <c r="G58" s="465">
        <v>106956000</v>
      </c>
      <c r="H58" s="465">
        <v>-777665</v>
      </c>
      <c r="I58" s="465">
        <v>-4931986</v>
      </c>
      <c r="J58" s="465">
        <v>-8699700</v>
      </c>
      <c r="K58" s="465">
        <v>86911584</v>
      </c>
      <c r="L58" s="465">
        <v>0</v>
      </c>
      <c r="M58" s="465">
        <v>0</v>
      </c>
      <c r="N58" s="465">
        <v>5008164</v>
      </c>
      <c r="O58" s="465">
        <v>-6967</v>
      </c>
      <c r="P58" s="465">
        <v>0</v>
      </c>
      <c r="Q58" s="465">
        <v>0</v>
      </c>
      <c r="R58" s="465">
        <v>0</v>
      </c>
      <c r="S58" s="465">
        <v>0</v>
      </c>
      <c r="T58" s="465">
        <v>77503430</v>
      </c>
      <c r="U58" s="461"/>
      <c r="V58" s="449"/>
      <c r="W58" s="43">
        <v>24692267</v>
      </c>
      <c r="X58" s="1">
        <v>-24692267</v>
      </c>
    </row>
    <row r="59" spans="3:24" x14ac:dyDescent="0.2">
      <c r="C59" s="171"/>
      <c r="E59" s="180" t="s">
        <v>525</v>
      </c>
      <c r="G59" s="465">
        <v>121373000</v>
      </c>
      <c r="H59" s="125">
        <v>0</v>
      </c>
      <c r="I59" s="125">
        <v>0</v>
      </c>
      <c r="J59" s="125">
        <v>0</v>
      </c>
      <c r="K59" s="125">
        <v>86911584</v>
      </c>
      <c r="L59" s="125">
        <v>0</v>
      </c>
      <c r="M59" s="125">
        <v>0</v>
      </c>
      <c r="N59" s="125">
        <v>5008164</v>
      </c>
      <c r="O59" s="125">
        <v>0</v>
      </c>
      <c r="P59" s="125">
        <v>0</v>
      </c>
      <c r="Q59" s="125">
        <v>0</v>
      </c>
      <c r="R59" s="125">
        <v>0</v>
      </c>
      <c r="S59" s="125">
        <v>0</v>
      </c>
      <c r="T59" s="125">
        <v>91919748</v>
      </c>
      <c r="U59" s="461"/>
      <c r="V59" s="449"/>
      <c r="W59" s="43">
        <v>0</v>
      </c>
      <c r="X59" s="1">
        <v>0</v>
      </c>
    </row>
    <row r="60" spans="3:24" hidden="1" x14ac:dyDescent="0.2">
      <c r="C60" s="171"/>
      <c r="E60" s="180" t="s">
        <v>526</v>
      </c>
      <c r="G60" s="465">
        <v>0</v>
      </c>
      <c r="H60" s="125">
        <v>0</v>
      </c>
      <c r="I60" s="125">
        <v>0</v>
      </c>
      <c r="J60" s="125">
        <v>0</v>
      </c>
      <c r="K60" s="125">
        <v>0</v>
      </c>
      <c r="L60" s="125">
        <v>0</v>
      </c>
      <c r="M60" s="125">
        <v>0</v>
      </c>
      <c r="N60" s="125">
        <v>0</v>
      </c>
      <c r="O60" s="125">
        <v>0</v>
      </c>
      <c r="P60" s="125">
        <v>0</v>
      </c>
      <c r="Q60" s="125">
        <v>0</v>
      </c>
      <c r="R60" s="125">
        <v>0</v>
      </c>
      <c r="S60" s="125">
        <v>0</v>
      </c>
      <c r="T60" s="125">
        <v>0</v>
      </c>
      <c r="U60" s="461"/>
      <c r="V60" s="449"/>
      <c r="W60" s="43">
        <v>0</v>
      </c>
      <c r="X60" s="1">
        <v>0</v>
      </c>
    </row>
    <row r="61" spans="3:24" x14ac:dyDescent="0.2">
      <c r="C61" s="171"/>
      <c r="E61" s="180" t="s">
        <v>465</v>
      </c>
      <c r="G61" s="465"/>
      <c r="H61" s="125"/>
      <c r="I61" s="125"/>
      <c r="J61" s="125"/>
      <c r="K61" s="125"/>
      <c r="L61" s="125"/>
      <c r="M61" s="125"/>
      <c r="N61" s="125"/>
      <c r="O61" s="125"/>
      <c r="P61" s="125"/>
      <c r="Q61" s="125"/>
      <c r="R61" s="125"/>
      <c r="S61" s="125"/>
      <c r="T61" s="125"/>
      <c r="U61" s="461"/>
      <c r="V61" s="449"/>
      <c r="W61" s="43"/>
      <c r="X61" s="1"/>
    </row>
    <row r="62" spans="3:24" x14ac:dyDescent="0.2">
      <c r="C62" s="171"/>
      <c r="E62" s="474" t="s">
        <v>535</v>
      </c>
      <c r="G62" s="465">
        <v>-7961000</v>
      </c>
      <c r="H62" s="125">
        <v>-391647</v>
      </c>
      <c r="I62" s="125">
        <v>-1962723</v>
      </c>
      <c r="J62" s="125">
        <v>-5604275</v>
      </c>
      <c r="K62" s="125">
        <v>0</v>
      </c>
      <c r="L62" s="125">
        <v>0</v>
      </c>
      <c r="M62" s="125">
        <v>0</v>
      </c>
      <c r="N62" s="125">
        <v>0</v>
      </c>
      <c r="O62" s="125">
        <v>-1940</v>
      </c>
      <c r="P62" s="125">
        <v>0</v>
      </c>
      <c r="Q62" s="125">
        <v>0</v>
      </c>
      <c r="R62" s="125">
        <v>0</v>
      </c>
      <c r="S62" s="125">
        <v>0</v>
      </c>
      <c r="T62" s="125">
        <v>-7960585</v>
      </c>
      <c r="U62" s="461"/>
      <c r="V62" s="449"/>
      <c r="W62" s="43">
        <v>12046193</v>
      </c>
      <c r="X62" s="1">
        <v>-12046193</v>
      </c>
    </row>
    <row r="63" spans="3:24" x14ac:dyDescent="0.2">
      <c r="C63" s="171"/>
      <c r="E63" s="474" t="s">
        <v>536</v>
      </c>
      <c r="F63" s="470"/>
      <c r="G63" s="465">
        <v>-6456000</v>
      </c>
      <c r="H63" s="125">
        <v>-386018</v>
      </c>
      <c r="I63" s="125">
        <v>-2969263</v>
      </c>
      <c r="J63" s="125">
        <v>-3095425</v>
      </c>
      <c r="K63" s="125">
        <v>0</v>
      </c>
      <c r="L63" s="125">
        <v>0</v>
      </c>
      <c r="M63" s="125">
        <v>0</v>
      </c>
      <c r="N63" s="125">
        <v>0</v>
      </c>
      <c r="O63" s="125">
        <v>-5027</v>
      </c>
      <c r="P63" s="125">
        <v>0</v>
      </c>
      <c r="Q63" s="125">
        <v>0</v>
      </c>
      <c r="R63" s="125">
        <v>0</v>
      </c>
      <c r="S63" s="125">
        <v>0</v>
      </c>
      <c r="T63" s="125">
        <v>-6455733</v>
      </c>
      <c r="U63" s="461"/>
      <c r="V63" s="449"/>
      <c r="W63" s="43">
        <v>12646074</v>
      </c>
      <c r="X63" s="1">
        <v>-12646074</v>
      </c>
    </row>
    <row r="64" spans="3:24" x14ac:dyDescent="0.2">
      <c r="C64" s="171"/>
      <c r="E64" s="474"/>
      <c r="F64" s="470"/>
      <c r="G64" s="465"/>
      <c r="H64" s="125"/>
      <c r="I64" s="125"/>
      <c r="J64" s="125"/>
      <c r="K64" s="125"/>
      <c r="L64" s="125"/>
      <c r="M64" s="125"/>
      <c r="N64" s="125"/>
      <c r="O64" s="125"/>
      <c r="P64" s="125"/>
      <c r="Q64" s="125"/>
      <c r="R64" s="125"/>
      <c r="S64" s="125"/>
      <c r="T64" s="125"/>
      <c r="U64" s="461"/>
      <c r="V64" s="449"/>
      <c r="W64" s="43"/>
      <c r="X64" s="1"/>
    </row>
    <row r="65" spans="3:24" hidden="1" x14ac:dyDescent="0.2">
      <c r="C65" s="171"/>
      <c r="D65" s="180" t="s">
        <v>529</v>
      </c>
      <c r="F65" s="470"/>
      <c r="G65" s="465">
        <v>0</v>
      </c>
      <c r="H65" s="465">
        <v>0</v>
      </c>
      <c r="I65" s="465">
        <v>0</v>
      </c>
      <c r="J65" s="465">
        <v>0</v>
      </c>
      <c r="K65" s="465">
        <v>0</v>
      </c>
      <c r="L65" s="465">
        <v>0</v>
      </c>
      <c r="M65" s="465">
        <v>0</v>
      </c>
      <c r="N65" s="465">
        <v>0</v>
      </c>
      <c r="O65" s="465">
        <v>0</v>
      </c>
      <c r="P65" s="465">
        <v>0</v>
      </c>
      <c r="Q65" s="465">
        <v>0</v>
      </c>
      <c r="R65" s="465">
        <v>0</v>
      </c>
      <c r="S65" s="465">
        <v>0</v>
      </c>
      <c r="T65" s="125">
        <v>0</v>
      </c>
      <c r="U65" s="461"/>
      <c r="V65" s="449"/>
      <c r="W65" s="43">
        <v>0</v>
      </c>
      <c r="X65" s="1">
        <v>0</v>
      </c>
    </row>
    <row r="66" spans="3:24" hidden="1" x14ac:dyDescent="0.2">
      <c r="C66" s="171"/>
      <c r="E66" s="180" t="s">
        <v>525</v>
      </c>
      <c r="F66" s="470"/>
      <c r="G66" s="465">
        <v>0</v>
      </c>
      <c r="H66" s="465">
        <v>0</v>
      </c>
      <c r="I66" s="465">
        <v>0</v>
      </c>
      <c r="J66" s="465">
        <v>0</v>
      </c>
      <c r="K66" s="465">
        <v>0</v>
      </c>
      <c r="L66" s="465">
        <v>0</v>
      </c>
      <c r="M66" s="465">
        <v>0</v>
      </c>
      <c r="N66" s="465">
        <v>0</v>
      </c>
      <c r="O66" s="465">
        <v>0</v>
      </c>
      <c r="P66" s="465">
        <v>0</v>
      </c>
      <c r="Q66" s="465">
        <v>0</v>
      </c>
      <c r="R66" s="465">
        <v>0</v>
      </c>
      <c r="S66" s="465">
        <v>0</v>
      </c>
      <c r="T66" s="125">
        <v>0</v>
      </c>
      <c r="U66" s="461"/>
      <c r="V66" s="449"/>
      <c r="W66" s="43">
        <v>0</v>
      </c>
      <c r="X66" s="1">
        <v>0</v>
      </c>
    </row>
    <row r="67" spans="3:24" hidden="1" x14ac:dyDescent="0.2">
      <c r="C67" s="171"/>
      <c r="E67" s="180" t="s">
        <v>526</v>
      </c>
      <c r="F67" s="470"/>
      <c r="G67" s="465">
        <v>0</v>
      </c>
      <c r="H67" s="465">
        <v>0</v>
      </c>
      <c r="I67" s="465">
        <v>0</v>
      </c>
      <c r="J67" s="465">
        <v>0</v>
      </c>
      <c r="K67" s="465">
        <v>0</v>
      </c>
      <c r="L67" s="465">
        <v>0</v>
      </c>
      <c r="M67" s="465">
        <v>0</v>
      </c>
      <c r="N67" s="465">
        <v>0</v>
      </c>
      <c r="O67" s="465">
        <v>0</v>
      </c>
      <c r="P67" s="465">
        <v>0</v>
      </c>
      <c r="Q67" s="465">
        <v>0</v>
      </c>
      <c r="R67" s="465">
        <v>0</v>
      </c>
      <c r="S67" s="465">
        <v>0</v>
      </c>
      <c r="T67" s="125">
        <v>0</v>
      </c>
      <c r="U67" s="461"/>
      <c r="V67" s="449"/>
      <c r="W67" s="43">
        <v>0</v>
      </c>
      <c r="X67" s="1">
        <v>0</v>
      </c>
    </row>
    <row r="68" spans="3:24" hidden="1" x14ac:dyDescent="0.2">
      <c r="C68" s="171"/>
      <c r="E68" s="180" t="s">
        <v>537</v>
      </c>
      <c r="F68" s="470"/>
      <c r="G68" s="465"/>
      <c r="H68" s="465"/>
      <c r="I68" s="465"/>
      <c r="J68" s="465"/>
      <c r="K68" s="465"/>
      <c r="L68" s="465"/>
      <c r="M68" s="465"/>
      <c r="N68" s="465"/>
      <c r="O68" s="465"/>
      <c r="P68" s="465"/>
      <c r="Q68" s="465"/>
      <c r="R68" s="465"/>
      <c r="S68" s="465"/>
      <c r="T68" s="125"/>
      <c r="U68" s="461"/>
      <c r="V68" s="449"/>
      <c r="W68" s="43">
        <v>0</v>
      </c>
      <c r="X68" s="1">
        <v>0</v>
      </c>
    </row>
    <row r="69" spans="3:24" hidden="1" x14ac:dyDescent="0.2">
      <c r="C69" s="171"/>
      <c r="E69" s="474" t="s">
        <v>535</v>
      </c>
      <c r="F69" s="470"/>
      <c r="G69" s="465">
        <v>0</v>
      </c>
      <c r="H69" s="465">
        <v>0</v>
      </c>
      <c r="I69" s="465">
        <v>0</v>
      </c>
      <c r="J69" s="465">
        <v>0</v>
      </c>
      <c r="K69" s="465">
        <v>0</v>
      </c>
      <c r="L69" s="465">
        <v>0</v>
      </c>
      <c r="M69" s="465">
        <v>0</v>
      </c>
      <c r="N69" s="465">
        <v>0</v>
      </c>
      <c r="O69" s="465">
        <v>0</v>
      </c>
      <c r="P69" s="465">
        <v>0</v>
      </c>
      <c r="Q69" s="465">
        <v>0</v>
      </c>
      <c r="R69" s="465">
        <v>0</v>
      </c>
      <c r="S69" s="465">
        <v>0</v>
      </c>
      <c r="T69" s="125">
        <v>0</v>
      </c>
      <c r="U69" s="461"/>
      <c r="V69" s="449"/>
      <c r="W69" s="43">
        <v>0</v>
      </c>
      <c r="X69" s="1">
        <v>0</v>
      </c>
    </row>
    <row r="70" spans="3:24" hidden="1" x14ac:dyDescent="0.2">
      <c r="C70" s="171"/>
      <c r="E70" s="474" t="s">
        <v>536</v>
      </c>
      <c r="F70" s="470"/>
      <c r="G70" s="465">
        <v>0</v>
      </c>
      <c r="H70" s="465">
        <v>0</v>
      </c>
      <c r="I70" s="465">
        <v>0</v>
      </c>
      <c r="J70" s="465">
        <v>0</v>
      </c>
      <c r="K70" s="465">
        <v>0</v>
      </c>
      <c r="L70" s="465">
        <v>0</v>
      </c>
      <c r="M70" s="465">
        <v>0</v>
      </c>
      <c r="N70" s="465">
        <v>0</v>
      </c>
      <c r="O70" s="465">
        <v>0</v>
      </c>
      <c r="P70" s="465">
        <v>0</v>
      </c>
      <c r="Q70" s="465">
        <v>0</v>
      </c>
      <c r="R70" s="465">
        <v>0</v>
      </c>
      <c r="S70" s="465">
        <v>0</v>
      </c>
      <c r="T70" s="125">
        <v>0</v>
      </c>
      <c r="U70" s="461"/>
      <c r="V70" s="449"/>
      <c r="W70" s="43">
        <v>0</v>
      </c>
      <c r="X70" s="1">
        <v>0</v>
      </c>
    </row>
    <row r="71" spans="3:24" hidden="1" x14ac:dyDescent="0.2">
      <c r="C71" s="171"/>
      <c r="E71" s="474"/>
      <c r="F71" s="470"/>
      <c r="G71" s="465"/>
      <c r="H71" s="465"/>
      <c r="I71" s="465"/>
      <c r="J71" s="465"/>
      <c r="K71" s="465"/>
      <c r="L71" s="465"/>
      <c r="M71" s="465"/>
      <c r="N71" s="465"/>
      <c r="O71" s="465"/>
      <c r="P71" s="465"/>
      <c r="Q71" s="465"/>
      <c r="R71" s="465"/>
      <c r="S71" s="465"/>
      <c r="T71" s="125"/>
      <c r="U71" s="461"/>
      <c r="V71" s="449"/>
      <c r="W71" s="43">
        <v>0</v>
      </c>
      <c r="X71" s="1">
        <v>0</v>
      </c>
    </row>
    <row r="72" spans="3:24" hidden="1" x14ac:dyDescent="0.2">
      <c r="C72" s="171"/>
      <c r="D72" s="180" t="s">
        <v>538</v>
      </c>
      <c r="F72" s="470"/>
      <c r="G72" s="465">
        <v>0</v>
      </c>
      <c r="H72" s="465">
        <v>0</v>
      </c>
      <c r="I72" s="465">
        <v>0</v>
      </c>
      <c r="J72" s="465">
        <v>0</v>
      </c>
      <c r="K72" s="465">
        <v>0</v>
      </c>
      <c r="L72" s="465">
        <v>0</v>
      </c>
      <c r="M72" s="465">
        <v>0</v>
      </c>
      <c r="N72" s="465">
        <v>0</v>
      </c>
      <c r="O72" s="465">
        <v>0</v>
      </c>
      <c r="P72" s="465">
        <v>0</v>
      </c>
      <c r="Q72" s="465">
        <v>0</v>
      </c>
      <c r="R72" s="465">
        <v>0</v>
      </c>
      <c r="S72" s="465">
        <v>0</v>
      </c>
      <c r="T72" s="125">
        <v>0</v>
      </c>
      <c r="U72" s="461"/>
      <c r="V72" s="449"/>
      <c r="W72" s="43">
        <v>0</v>
      </c>
      <c r="X72" s="1">
        <v>0</v>
      </c>
    </row>
    <row r="73" spans="3:24" hidden="1" x14ac:dyDescent="0.2">
      <c r="C73" s="171"/>
      <c r="E73" s="180" t="s">
        <v>525</v>
      </c>
      <c r="F73" s="470"/>
      <c r="G73" s="465">
        <v>0</v>
      </c>
      <c r="H73" s="465">
        <v>0</v>
      </c>
      <c r="I73" s="465">
        <v>0</v>
      </c>
      <c r="J73" s="465">
        <v>0</v>
      </c>
      <c r="K73" s="465">
        <v>0</v>
      </c>
      <c r="L73" s="465">
        <v>0</v>
      </c>
      <c r="M73" s="465">
        <v>0</v>
      </c>
      <c r="N73" s="465">
        <v>0</v>
      </c>
      <c r="O73" s="465">
        <v>0</v>
      </c>
      <c r="P73" s="465">
        <v>0</v>
      </c>
      <c r="Q73" s="465">
        <v>0</v>
      </c>
      <c r="R73" s="465">
        <v>0</v>
      </c>
      <c r="S73" s="465">
        <v>0</v>
      </c>
      <c r="T73" s="125">
        <v>0</v>
      </c>
      <c r="U73" s="461"/>
      <c r="V73" s="449"/>
      <c r="W73" s="43">
        <v>0</v>
      </c>
      <c r="X73" s="1">
        <v>0</v>
      </c>
    </row>
    <row r="74" spans="3:24" hidden="1" x14ac:dyDescent="0.2">
      <c r="C74" s="171"/>
      <c r="E74" s="180" t="s">
        <v>526</v>
      </c>
      <c r="F74" s="470"/>
      <c r="G74" s="465">
        <v>0</v>
      </c>
      <c r="H74" s="465">
        <v>0</v>
      </c>
      <c r="I74" s="465">
        <v>0</v>
      </c>
      <c r="J74" s="465">
        <v>0</v>
      </c>
      <c r="K74" s="465">
        <v>0</v>
      </c>
      <c r="L74" s="465">
        <v>0</v>
      </c>
      <c r="M74" s="465">
        <v>0</v>
      </c>
      <c r="N74" s="465">
        <v>0</v>
      </c>
      <c r="O74" s="465">
        <v>0</v>
      </c>
      <c r="P74" s="465">
        <v>0</v>
      </c>
      <c r="Q74" s="465">
        <v>0</v>
      </c>
      <c r="R74" s="465">
        <v>0</v>
      </c>
      <c r="S74" s="465">
        <v>0</v>
      </c>
      <c r="T74" s="125">
        <v>0</v>
      </c>
      <c r="U74" s="461"/>
      <c r="V74" s="449"/>
      <c r="W74" s="43">
        <v>0</v>
      </c>
      <c r="X74" s="1">
        <v>0</v>
      </c>
    </row>
    <row r="75" spans="3:24" hidden="1" x14ac:dyDescent="0.2">
      <c r="C75" s="171"/>
      <c r="E75" s="180" t="s">
        <v>539</v>
      </c>
      <c r="F75" s="470"/>
      <c r="G75" s="465"/>
      <c r="H75" s="465"/>
      <c r="I75" s="465"/>
      <c r="J75" s="465"/>
      <c r="K75" s="465"/>
      <c r="L75" s="465"/>
      <c r="M75" s="465"/>
      <c r="N75" s="465"/>
      <c r="O75" s="465"/>
      <c r="P75" s="465"/>
      <c r="Q75" s="465"/>
      <c r="R75" s="465"/>
      <c r="S75" s="465"/>
      <c r="T75" s="125"/>
      <c r="U75" s="461"/>
      <c r="V75" s="449"/>
      <c r="W75" s="43">
        <v>0</v>
      </c>
      <c r="X75" s="1">
        <v>0</v>
      </c>
    </row>
    <row r="76" spans="3:24" hidden="1" x14ac:dyDescent="0.2">
      <c r="C76" s="171"/>
      <c r="E76" s="474" t="s">
        <v>535</v>
      </c>
      <c r="F76" s="470"/>
      <c r="G76" s="465">
        <v>0</v>
      </c>
      <c r="H76" s="465">
        <v>0</v>
      </c>
      <c r="I76" s="465">
        <v>0</v>
      </c>
      <c r="J76" s="465">
        <v>0</v>
      </c>
      <c r="K76" s="465">
        <v>0</v>
      </c>
      <c r="L76" s="465">
        <v>0</v>
      </c>
      <c r="M76" s="465">
        <v>0</v>
      </c>
      <c r="N76" s="465">
        <v>0</v>
      </c>
      <c r="O76" s="465">
        <v>0</v>
      </c>
      <c r="P76" s="465">
        <v>0</v>
      </c>
      <c r="Q76" s="465">
        <v>0</v>
      </c>
      <c r="R76" s="465">
        <v>0</v>
      </c>
      <c r="S76" s="465">
        <v>0</v>
      </c>
      <c r="T76" s="125">
        <v>0</v>
      </c>
      <c r="U76" s="461"/>
      <c r="V76" s="449"/>
      <c r="W76" s="43">
        <v>0</v>
      </c>
      <c r="X76" s="1">
        <v>0</v>
      </c>
    </row>
    <row r="77" spans="3:24" hidden="1" x14ac:dyDescent="0.2">
      <c r="C77" s="171"/>
      <c r="E77" s="474" t="s">
        <v>536</v>
      </c>
      <c r="F77" s="470"/>
      <c r="G77" s="465">
        <v>0</v>
      </c>
      <c r="H77" s="465">
        <v>0</v>
      </c>
      <c r="I77" s="465">
        <v>0</v>
      </c>
      <c r="J77" s="465">
        <v>0</v>
      </c>
      <c r="K77" s="465">
        <v>0</v>
      </c>
      <c r="L77" s="465">
        <v>0</v>
      </c>
      <c r="M77" s="465">
        <v>0</v>
      </c>
      <c r="N77" s="465">
        <v>0</v>
      </c>
      <c r="O77" s="465">
        <v>0</v>
      </c>
      <c r="P77" s="465">
        <v>0</v>
      </c>
      <c r="Q77" s="465">
        <v>0</v>
      </c>
      <c r="R77" s="465">
        <v>0</v>
      </c>
      <c r="S77" s="465">
        <v>0</v>
      </c>
      <c r="T77" s="125">
        <v>0</v>
      </c>
      <c r="U77" s="461"/>
      <c r="V77" s="449"/>
      <c r="W77" s="43">
        <v>0</v>
      </c>
      <c r="X77" s="1">
        <v>0</v>
      </c>
    </row>
    <row r="78" spans="3:24" hidden="1" x14ac:dyDescent="0.2">
      <c r="C78" s="171"/>
      <c r="F78" s="470"/>
      <c r="G78" s="465"/>
      <c r="H78" s="125"/>
      <c r="I78" s="125"/>
      <c r="J78" s="125"/>
      <c r="K78" s="125"/>
      <c r="L78" s="125"/>
      <c r="M78" s="125"/>
      <c r="N78" s="125"/>
      <c r="O78" s="125"/>
      <c r="P78" s="125"/>
      <c r="Q78" s="125"/>
      <c r="R78" s="125"/>
      <c r="S78" s="125"/>
      <c r="T78" s="125"/>
      <c r="U78" s="461"/>
      <c r="V78" s="449"/>
      <c r="W78" s="43">
        <v>0</v>
      </c>
      <c r="X78" s="1">
        <v>0</v>
      </c>
    </row>
    <row r="79" spans="3:24" hidden="1" x14ac:dyDescent="0.2">
      <c r="C79" s="171"/>
      <c r="G79" s="465"/>
      <c r="H79" s="125"/>
      <c r="I79" s="125"/>
      <c r="J79" s="125"/>
      <c r="K79" s="125"/>
      <c r="L79" s="125"/>
      <c r="M79" s="125"/>
      <c r="N79" s="125"/>
      <c r="O79" s="125"/>
      <c r="P79" s="125"/>
      <c r="Q79" s="125"/>
      <c r="R79" s="125"/>
      <c r="S79" s="125"/>
      <c r="T79" s="125"/>
      <c r="U79" s="461"/>
      <c r="V79" s="449"/>
      <c r="W79" s="43">
        <v>0</v>
      </c>
      <c r="X79" s="1">
        <v>0</v>
      </c>
    </row>
    <row r="80" spans="3:24" s="182" customFormat="1" x14ac:dyDescent="0.2">
      <c r="C80" s="173" t="s">
        <v>540</v>
      </c>
      <c r="F80" s="460" t="s">
        <v>541</v>
      </c>
      <c r="G80" s="26">
        <v>47835711.668461092</v>
      </c>
      <c r="H80" s="23">
        <v>15659489</v>
      </c>
      <c r="I80" s="23">
        <v>-128367.74399999995</v>
      </c>
      <c r="J80" s="23">
        <v>-20445485</v>
      </c>
      <c r="K80" s="23">
        <v>-78401907</v>
      </c>
      <c r="L80" s="23">
        <v>68828004</v>
      </c>
      <c r="M80" s="23">
        <v>-19226275</v>
      </c>
      <c r="N80" s="23">
        <v>-23714757</v>
      </c>
      <c r="O80" s="23">
        <v>-17589146</v>
      </c>
      <c r="P80" s="23">
        <v>-23681013</v>
      </c>
      <c r="Q80" s="23">
        <v>59627181</v>
      </c>
      <c r="R80" s="23">
        <v>378365248</v>
      </c>
      <c r="S80" s="23">
        <v>0</v>
      </c>
      <c r="T80" s="23">
        <v>-39072276.744000003</v>
      </c>
      <c r="U80" s="469"/>
      <c r="V80" s="188"/>
      <c r="W80" s="43">
        <v>-16774580.765119549</v>
      </c>
      <c r="X80" s="1">
        <v>16774632.765119553</v>
      </c>
    </row>
    <row r="81" spans="2:24" x14ac:dyDescent="0.2">
      <c r="C81" s="171"/>
      <c r="E81" s="180" t="s">
        <v>542</v>
      </c>
      <c r="G81" s="465">
        <v>7368043.66846109</v>
      </c>
      <c r="H81" s="125">
        <v>0</v>
      </c>
      <c r="I81" s="125">
        <v>871744.25600000005</v>
      </c>
      <c r="J81" s="125">
        <v>0</v>
      </c>
      <c r="K81" s="125">
        <v>104039</v>
      </c>
      <c r="L81" s="125">
        <v>0</v>
      </c>
      <c r="M81" s="125">
        <v>3836</v>
      </c>
      <c r="N81" s="125">
        <v>1831061</v>
      </c>
      <c r="O81" s="125">
        <v>2236273</v>
      </c>
      <c r="P81" s="125">
        <v>1620990</v>
      </c>
      <c r="Q81" s="125">
        <v>89678</v>
      </c>
      <c r="R81" s="125">
        <v>0</v>
      </c>
      <c r="S81" s="125">
        <v>0</v>
      </c>
      <c r="T81" s="125">
        <v>6757621.2560000001</v>
      </c>
      <c r="U81" s="461"/>
      <c r="V81" s="449"/>
      <c r="W81" s="43">
        <v>-4090767</v>
      </c>
      <c r="X81" s="1">
        <v>4090767</v>
      </c>
    </row>
    <row r="82" spans="2:24" x14ac:dyDescent="0.2">
      <c r="C82" s="171"/>
      <c r="E82" s="180" t="s">
        <v>543</v>
      </c>
      <c r="F82" s="475"/>
      <c r="G82" s="125">
        <v>0</v>
      </c>
      <c r="H82" s="476">
        <v>34143659</v>
      </c>
      <c r="I82" s="476">
        <v>-4349966</v>
      </c>
      <c r="J82" s="476">
        <v>2527515</v>
      </c>
      <c r="K82" s="476">
        <v>-24856159</v>
      </c>
      <c r="L82" s="476">
        <v>26866570</v>
      </c>
      <c r="M82" s="476">
        <v>-5977613</v>
      </c>
      <c r="N82" s="476">
        <v>15416167</v>
      </c>
      <c r="O82" s="476">
        <v>-315227</v>
      </c>
      <c r="P82" s="476">
        <v>-6539100</v>
      </c>
      <c r="Q82" s="476">
        <v>59957836</v>
      </c>
      <c r="R82" s="476">
        <v>0</v>
      </c>
      <c r="S82" s="476">
        <v>0</v>
      </c>
      <c r="T82" s="125">
        <v>96873682</v>
      </c>
      <c r="U82" s="461"/>
      <c r="V82" s="449"/>
      <c r="W82" s="43">
        <v>30073745</v>
      </c>
      <c r="X82" s="1">
        <v>-30073745</v>
      </c>
    </row>
    <row r="83" spans="2:24" x14ac:dyDescent="0.2">
      <c r="C83" s="171"/>
      <c r="E83" s="180" t="s">
        <v>327</v>
      </c>
      <c r="G83" s="465">
        <v>0</v>
      </c>
      <c r="H83" s="125">
        <v>0</v>
      </c>
      <c r="I83" s="125">
        <v>0</v>
      </c>
      <c r="J83" s="125">
        <v>0</v>
      </c>
      <c r="K83" s="125">
        <v>0</v>
      </c>
      <c r="L83" s="125">
        <v>0</v>
      </c>
      <c r="M83" s="125">
        <v>0</v>
      </c>
      <c r="N83" s="125">
        <v>0</v>
      </c>
      <c r="O83" s="125">
        <v>0</v>
      </c>
      <c r="P83" s="125">
        <v>0</v>
      </c>
      <c r="Q83" s="125">
        <v>0</v>
      </c>
      <c r="R83" s="125">
        <v>0</v>
      </c>
      <c r="S83" s="125">
        <v>0</v>
      </c>
      <c r="T83" s="125">
        <v>0</v>
      </c>
      <c r="U83" s="461"/>
      <c r="V83" s="449"/>
      <c r="W83" s="43">
        <v>-2087301.7651195501</v>
      </c>
      <c r="X83" s="1">
        <v>2087353.7651195501</v>
      </c>
    </row>
    <row r="84" spans="2:24" x14ac:dyDescent="0.2">
      <c r="C84" s="171"/>
      <c r="E84" s="180" t="s">
        <v>544</v>
      </c>
      <c r="G84" s="465">
        <v>40467668</v>
      </c>
      <c r="H84" s="125">
        <v>-18484170</v>
      </c>
      <c r="I84" s="125">
        <v>3349854</v>
      </c>
      <c r="J84" s="125">
        <v>-22973000</v>
      </c>
      <c r="K84" s="125">
        <v>-53649787</v>
      </c>
      <c r="L84" s="125">
        <v>41961434</v>
      </c>
      <c r="M84" s="125">
        <v>-13252498</v>
      </c>
      <c r="N84" s="125">
        <v>-40961985</v>
      </c>
      <c r="O84" s="125">
        <v>-19510192</v>
      </c>
      <c r="P84" s="125">
        <v>-18762903</v>
      </c>
      <c r="Q84" s="125">
        <v>-420333</v>
      </c>
      <c r="R84" s="125">
        <v>378365248</v>
      </c>
      <c r="S84" s="125">
        <v>0</v>
      </c>
      <c r="T84" s="125">
        <v>-142703580</v>
      </c>
      <c r="U84" s="461"/>
      <c r="V84" s="449"/>
      <c r="W84" s="43">
        <v>-40670257</v>
      </c>
      <c r="X84" s="1">
        <v>40670257</v>
      </c>
    </row>
    <row r="85" spans="2:24" x14ac:dyDescent="0.2">
      <c r="C85" s="477"/>
      <c r="D85" s="183"/>
      <c r="E85" s="183"/>
      <c r="F85" s="478"/>
      <c r="G85" s="479"/>
      <c r="H85" s="480"/>
      <c r="I85" s="480"/>
      <c r="J85" s="480"/>
      <c r="K85" s="480"/>
      <c r="L85" s="480"/>
      <c r="M85" s="480"/>
      <c r="N85" s="480"/>
      <c r="O85" s="480"/>
      <c r="P85" s="480"/>
      <c r="Q85" s="480"/>
      <c r="R85" s="480"/>
      <c r="S85" s="480"/>
      <c r="T85" s="480"/>
      <c r="U85" s="461"/>
      <c r="V85" s="449"/>
      <c r="W85" s="43"/>
      <c r="X85" s="1"/>
    </row>
    <row r="86" spans="2:24" x14ac:dyDescent="0.2">
      <c r="G86" s="481"/>
      <c r="H86" s="481"/>
      <c r="I86" s="481"/>
      <c r="J86" s="481"/>
      <c r="K86" s="481"/>
      <c r="L86" s="481"/>
      <c r="M86" s="481"/>
      <c r="N86" s="481"/>
      <c r="O86" s="481"/>
      <c r="P86" s="481"/>
      <c r="Q86" s="481"/>
      <c r="R86" s="481"/>
      <c r="S86" s="481"/>
      <c r="T86" s="481"/>
      <c r="U86" s="449"/>
      <c r="V86" s="449"/>
      <c r="W86" s="43"/>
      <c r="X86" s="1"/>
    </row>
    <row r="87" spans="2:24" x14ac:dyDescent="0.2">
      <c r="B87" s="452"/>
      <c r="C87" s="482"/>
      <c r="D87" s="483"/>
      <c r="E87" s="484"/>
      <c r="F87" s="485"/>
      <c r="G87" s="486"/>
      <c r="H87" s="487"/>
      <c r="I87" s="487"/>
      <c r="J87" s="487"/>
      <c r="K87" s="487"/>
      <c r="L87" s="487"/>
      <c r="M87" s="487"/>
      <c r="N87" s="487"/>
      <c r="O87" s="487"/>
      <c r="P87" s="487"/>
      <c r="Q87" s="487"/>
      <c r="R87" s="487"/>
      <c r="S87" s="487"/>
      <c r="T87" s="486"/>
      <c r="U87" s="469"/>
      <c r="V87" s="449"/>
      <c r="W87" s="43"/>
      <c r="X87" s="1"/>
    </row>
    <row r="88" spans="2:24" s="182" customFormat="1" x14ac:dyDescent="0.2">
      <c r="B88" s="466"/>
      <c r="C88" s="199" t="s">
        <v>545</v>
      </c>
      <c r="D88" s="488"/>
      <c r="F88" s="460" t="s">
        <v>541</v>
      </c>
      <c r="G88" s="26">
        <v>40467668</v>
      </c>
      <c r="H88" s="23">
        <v>-18484170</v>
      </c>
      <c r="I88" s="23">
        <v>3349854</v>
      </c>
      <c r="J88" s="23">
        <v>-22973000</v>
      </c>
      <c r="K88" s="23">
        <v>-53649787</v>
      </c>
      <c r="L88" s="23">
        <v>41961434</v>
      </c>
      <c r="M88" s="23">
        <v>-13252498</v>
      </c>
      <c r="N88" s="23">
        <v>-40961985</v>
      </c>
      <c r="O88" s="23">
        <v>-19510192</v>
      </c>
      <c r="P88" s="23">
        <v>-18762903</v>
      </c>
      <c r="Q88" s="23">
        <v>-420333</v>
      </c>
      <c r="R88" s="23">
        <v>378365248</v>
      </c>
      <c r="S88" s="23">
        <v>0</v>
      </c>
      <c r="T88" s="26">
        <v>-142703580</v>
      </c>
      <c r="U88" s="461"/>
      <c r="V88" s="188"/>
      <c r="W88" s="43">
        <v>-40670257</v>
      </c>
      <c r="X88" s="1">
        <v>40670257</v>
      </c>
    </row>
    <row r="89" spans="2:24" x14ac:dyDescent="0.2">
      <c r="B89" s="452"/>
      <c r="C89" s="489"/>
      <c r="D89" s="490"/>
      <c r="G89" s="465"/>
      <c r="H89" s="125"/>
      <c r="I89" s="125"/>
      <c r="J89" s="125"/>
      <c r="K89" s="125"/>
      <c r="L89" s="125"/>
      <c r="M89" s="125"/>
      <c r="N89" s="125"/>
      <c r="O89" s="125"/>
      <c r="P89" s="125"/>
      <c r="Q89" s="125"/>
      <c r="R89" s="125"/>
      <c r="S89" s="125"/>
      <c r="T89" s="465"/>
      <c r="U89" s="461"/>
      <c r="V89" s="449"/>
      <c r="W89" s="43"/>
      <c r="X89" s="1"/>
    </row>
    <row r="90" spans="2:24" x14ac:dyDescent="0.2">
      <c r="B90" s="452"/>
      <c r="C90" s="171" t="s">
        <v>546</v>
      </c>
      <c r="F90" s="460" t="s">
        <v>547</v>
      </c>
      <c r="G90" s="491">
        <v>235661668</v>
      </c>
      <c r="H90" s="102">
        <v>235661668</v>
      </c>
      <c r="I90" s="102">
        <v>254145838</v>
      </c>
      <c r="J90" s="102">
        <v>250795984</v>
      </c>
      <c r="K90" s="102">
        <v>273768984</v>
      </c>
      <c r="L90" s="102">
        <v>327418771</v>
      </c>
      <c r="M90" s="102">
        <v>285457337</v>
      </c>
      <c r="N90" s="102">
        <v>298709835</v>
      </c>
      <c r="O90" s="102">
        <v>339671820</v>
      </c>
      <c r="P90" s="102">
        <v>359182012</v>
      </c>
      <c r="Q90" s="102">
        <v>377944915</v>
      </c>
      <c r="R90" s="102">
        <v>378365248</v>
      </c>
      <c r="S90" s="102">
        <v>0</v>
      </c>
      <c r="T90" s="156">
        <v>235661668</v>
      </c>
      <c r="U90" s="461"/>
      <c r="V90" s="449"/>
      <c r="W90" s="43">
        <v>0</v>
      </c>
      <c r="X90" s="1"/>
    </row>
    <row r="91" spans="2:24" x14ac:dyDescent="0.2">
      <c r="B91" s="452"/>
      <c r="C91" s="223"/>
      <c r="D91" s="210"/>
      <c r="E91" s="180" t="s">
        <v>548</v>
      </c>
      <c r="G91" s="465">
        <v>191125443</v>
      </c>
      <c r="H91" s="63">
        <v>191125443</v>
      </c>
      <c r="I91" s="63">
        <v>188398825</v>
      </c>
      <c r="J91" s="63">
        <v>183966537</v>
      </c>
      <c r="K91" s="63">
        <v>174786407</v>
      </c>
      <c r="L91" s="63">
        <v>216993276</v>
      </c>
      <c r="M91" s="63">
        <v>178904480</v>
      </c>
      <c r="N91" s="63">
        <v>162851119</v>
      </c>
      <c r="O91" s="63">
        <v>150789653</v>
      </c>
      <c r="P91" s="63">
        <v>150112405</v>
      </c>
      <c r="Q91" s="63">
        <v>143765580</v>
      </c>
      <c r="R91" s="63">
        <v>142480438</v>
      </c>
      <c r="S91" s="63">
        <v>0</v>
      </c>
      <c r="T91" s="465">
        <v>191125443</v>
      </c>
      <c r="U91" s="461"/>
      <c r="V91" s="449"/>
      <c r="W91" s="43">
        <v>0</v>
      </c>
      <c r="X91" s="1"/>
    </row>
    <row r="92" spans="2:24" x14ac:dyDescent="0.2">
      <c r="B92" s="452"/>
      <c r="C92" s="223"/>
      <c r="D92" s="210"/>
      <c r="E92" s="180" t="s">
        <v>549</v>
      </c>
      <c r="G92" s="465">
        <v>44536225</v>
      </c>
      <c r="H92" s="63">
        <v>44536225</v>
      </c>
      <c r="I92" s="63">
        <v>65747013</v>
      </c>
      <c r="J92" s="63">
        <v>66829447</v>
      </c>
      <c r="K92" s="63">
        <v>98982577</v>
      </c>
      <c r="L92" s="63">
        <v>110425495</v>
      </c>
      <c r="M92" s="63">
        <v>106552857</v>
      </c>
      <c r="N92" s="63">
        <v>135858716</v>
      </c>
      <c r="O92" s="63">
        <v>188882167</v>
      </c>
      <c r="P92" s="63">
        <v>209069607</v>
      </c>
      <c r="Q92" s="63">
        <v>234179335</v>
      </c>
      <c r="R92" s="63">
        <v>235884810</v>
      </c>
      <c r="S92" s="63">
        <v>0</v>
      </c>
      <c r="T92" s="465">
        <v>44536225</v>
      </c>
      <c r="U92" s="461"/>
      <c r="V92" s="449"/>
      <c r="W92" s="43">
        <v>0</v>
      </c>
      <c r="X92" s="1"/>
    </row>
    <row r="93" spans="2:24" hidden="1" x14ac:dyDescent="0.2">
      <c r="B93" s="452"/>
      <c r="C93" s="171"/>
      <c r="E93" s="180" t="s">
        <v>550</v>
      </c>
      <c r="G93" s="465">
        <v>0</v>
      </c>
      <c r="H93" s="125">
        <v>0</v>
      </c>
      <c r="I93" s="125">
        <v>0</v>
      </c>
      <c r="J93" s="125">
        <v>0</v>
      </c>
      <c r="K93" s="125">
        <v>0</v>
      </c>
      <c r="L93" s="125">
        <v>0</v>
      </c>
      <c r="M93" s="125">
        <v>0</v>
      </c>
      <c r="N93" s="125">
        <v>0</v>
      </c>
      <c r="O93" s="125">
        <v>0</v>
      </c>
      <c r="P93" s="125">
        <v>0</v>
      </c>
      <c r="Q93" s="125">
        <v>0</v>
      </c>
      <c r="R93" s="125">
        <v>0</v>
      </c>
      <c r="S93" s="125">
        <v>0</v>
      </c>
      <c r="T93" s="465">
        <v>0</v>
      </c>
      <c r="U93" s="469"/>
      <c r="V93" s="449"/>
      <c r="W93" s="43">
        <v>0</v>
      </c>
      <c r="X93" s="1"/>
    </row>
    <row r="94" spans="2:24" x14ac:dyDescent="0.2">
      <c r="B94" s="452"/>
      <c r="C94" s="171"/>
      <c r="G94" s="465"/>
      <c r="H94" s="125"/>
      <c r="I94" s="125"/>
      <c r="J94" s="125"/>
      <c r="K94" s="125"/>
      <c r="L94" s="125"/>
      <c r="M94" s="125"/>
      <c r="N94" s="125"/>
      <c r="O94" s="125"/>
      <c r="P94" s="125"/>
      <c r="Q94" s="125"/>
      <c r="R94" s="125"/>
      <c r="S94" s="125"/>
      <c r="T94" s="465"/>
      <c r="U94" s="461"/>
      <c r="V94" s="449"/>
      <c r="W94" s="43"/>
      <c r="X94" s="1"/>
    </row>
    <row r="95" spans="2:24" hidden="1" x14ac:dyDescent="0.2">
      <c r="B95" s="452"/>
      <c r="C95" s="171"/>
      <c r="G95" s="465"/>
      <c r="H95" s="125"/>
      <c r="I95" s="125"/>
      <c r="J95" s="125"/>
      <c r="K95" s="125"/>
      <c r="L95" s="125"/>
      <c r="M95" s="125"/>
      <c r="N95" s="125"/>
      <c r="O95" s="125"/>
      <c r="P95" s="125"/>
      <c r="Q95" s="125"/>
      <c r="R95" s="125"/>
      <c r="S95" s="125"/>
      <c r="T95" s="465"/>
      <c r="U95" s="461"/>
      <c r="V95" s="449"/>
      <c r="W95" s="43">
        <v>0</v>
      </c>
      <c r="X95" s="1"/>
    </row>
    <row r="96" spans="2:24" x14ac:dyDescent="0.2">
      <c r="B96" s="452"/>
      <c r="C96" s="171" t="s">
        <v>551</v>
      </c>
      <c r="G96" s="63">
        <v>195194000</v>
      </c>
      <c r="H96" s="125">
        <v>254145838</v>
      </c>
      <c r="I96" s="125">
        <v>250795984</v>
      </c>
      <c r="J96" s="125">
        <v>273768984</v>
      </c>
      <c r="K96" s="125">
        <v>327418771</v>
      </c>
      <c r="L96" s="125">
        <v>285457337</v>
      </c>
      <c r="M96" s="125">
        <v>298709835</v>
      </c>
      <c r="N96" s="125">
        <v>339671820</v>
      </c>
      <c r="O96" s="125">
        <v>359182012</v>
      </c>
      <c r="P96" s="125">
        <v>377944915</v>
      </c>
      <c r="Q96" s="125">
        <v>378365248</v>
      </c>
      <c r="R96" s="125">
        <v>0</v>
      </c>
      <c r="S96" s="125">
        <v>0</v>
      </c>
      <c r="T96" s="465">
        <v>378365248</v>
      </c>
      <c r="U96" s="461"/>
      <c r="V96" s="449"/>
      <c r="W96" s="43">
        <v>40670257</v>
      </c>
      <c r="X96" s="1"/>
    </row>
    <row r="97" spans="2:24" x14ac:dyDescent="0.2">
      <c r="B97" s="452"/>
      <c r="C97" s="171"/>
      <c r="E97" s="180" t="s">
        <v>548</v>
      </c>
      <c r="G97" s="465">
        <v>145194000</v>
      </c>
      <c r="H97" s="63">
        <v>188398825</v>
      </c>
      <c r="I97" s="63">
        <v>183966537</v>
      </c>
      <c r="J97" s="63">
        <v>174786407</v>
      </c>
      <c r="K97" s="63">
        <v>216993276</v>
      </c>
      <c r="L97" s="63">
        <v>178904480</v>
      </c>
      <c r="M97" s="63">
        <v>162851119</v>
      </c>
      <c r="N97" s="63">
        <v>150789653</v>
      </c>
      <c r="O97" s="63">
        <v>150112405</v>
      </c>
      <c r="P97" s="63">
        <v>143765580</v>
      </c>
      <c r="Q97" s="63">
        <v>142480438</v>
      </c>
      <c r="R97" s="63">
        <v>0</v>
      </c>
      <c r="S97" s="63">
        <v>0</v>
      </c>
      <c r="T97" s="465">
        <v>142480438</v>
      </c>
      <c r="U97" s="461"/>
      <c r="V97" s="449"/>
      <c r="W97" s="43">
        <v>23865046</v>
      </c>
      <c r="X97" s="1"/>
    </row>
    <row r="98" spans="2:24" x14ac:dyDescent="0.2">
      <c r="B98" s="452"/>
      <c r="C98" s="171"/>
      <c r="E98" s="180" t="s">
        <v>552</v>
      </c>
      <c r="F98" s="460"/>
      <c r="G98" s="465">
        <v>50000000</v>
      </c>
      <c r="H98" s="63">
        <v>65747013</v>
      </c>
      <c r="I98" s="63">
        <v>66829447</v>
      </c>
      <c r="J98" s="63">
        <v>98982577</v>
      </c>
      <c r="K98" s="63">
        <v>110425495</v>
      </c>
      <c r="L98" s="63">
        <v>106552857</v>
      </c>
      <c r="M98" s="63">
        <v>135858716</v>
      </c>
      <c r="N98" s="63">
        <v>188882167</v>
      </c>
      <c r="O98" s="63">
        <v>209069607</v>
      </c>
      <c r="P98" s="63">
        <v>234179335</v>
      </c>
      <c r="Q98" s="63">
        <v>235884810</v>
      </c>
      <c r="R98" s="63">
        <v>0</v>
      </c>
      <c r="S98" s="63">
        <v>0</v>
      </c>
      <c r="T98" s="465">
        <v>235884810</v>
      </c>
      <c r="U98" s="461"/>
      <c r="V98" s="449"/>
      <c r="W98" s="43">
        <v>16805211</v>
      </c>
      <c r="X98" s="1"/>
    </row>
    <row r="99" spans="2:24" hidden="1" x14ac:dyDescent="0.2">
      <c r="C99" s="171"/>
      <c r="E99" s="180" t="s">
        <v>550</v>
      </c>
      <c r="G99" s="465">
        <v>0</v>
      </c>
      <c r="H99" s="465">
        <v>0</v>
      </c>
      <c r="I99" s="465">
        <v>0</v>
      </c>
      <c r="J99" s="465">
        <v>0</v>
      </c>
      <c r="K99" s="465">
        <v>0</v>
      </c>
      <c r="L99" s="465">
        <v>0</v>
      </c>
      <c r="M99" s="465">
        <v>0</v>
      </c>
      <c r="N99" s="465">
        <v>0</v>
      </c>
      <c r="O99" s="465">
        <v>0</v>
      </c>
      <c r="P99" s="465">
        <v>0</v>
      </c>
      <c r="Q99" s="465">
        <v>0</v>
      </c>
      <c r="R99" s="465">
        <v>0</v>
      </c>
      <c r="S99" s="465">
        <v>0</v>
      </c>
      <c r="T99" s="125">
        <v>0</v>
      </c>
      <c r="U99" s="469"/>
      <c r="V99" s="449"/>
      <c r="W99" s="43">
        <v>0</v>
      </c>
      <c r="X99" s="1">
        <v>0</v>
      </c>
    </row>
    <row r="100" spans="2:24" x14ac:dyDescent="0.2">
      <c r="C100" s="477"/>
      <c r="D100" s="183"/>
      <c r="E100" s="183"/>
      <c r="F100" s="478"/>
      <c r="G100" s="479"/>
      <c r="H100" s="479"/>
      <c r="I100" s="479"/>
      <c r="J100" s="479"/>
      <c r="K100" s="479"/>
      <c r="L100" s="479"/>
      <c r="M100" s="479"/>
      <c r="N100" s="479"/>
      <c r="O100" s="480"/>
      <c r="P100" s="479"/>
      <c r="Q100" s="480"/>
      <c r="R100" s="480"/>
      <c r="S100" s="479"/>
      <c r="T100" s="480"/>
      <c r="U100" s="461"/>
      <c r="V100" s="449"/>
      <c r="W100" s="43"/>
      <c r="X100" s="1"/>
    </row>
    <row r="101" spans="2:24" x14ac:dyDescent="0.2">
      <c r="C101" s="492" t="s">
        <v>553</v>
      </c>
      <c r="D101" s="492"/>
      <c r="E101" s="233"/>
      <c r="G101" s="228"/>
      <c r="H101" s="228"/>
      <c r="I101" s="228"/>
      <c r="J101" s="228"/>
      <c r="K101" s="228"/>
      <c r="L101" s="228"/>
      <c r="M101" s="228"/>
      <c r="N101" s="228"/>
      <c r="O101" s="228"/>
      <c r="P101" s="228"/>
      <c r="Q101" s="228"/>
      <c r="R101" s="228"/>
      <c r="S101" s="228"/>
      <c r="T101" s="228"/>
      <c r="U101" s="449"/>
      <c r="V101" s="449"/>
      <c r="W101" s="43"/>
      <c r="X101" s="1"/>
    </row>
    <row r="102" spans="2:24" x14ac:dyDescent="0.2">
      <c r="C102" s="492" t="s">
        <v>554</v>
      </c>
      <c r="D102" s="492"/>
      <c r="E102" s="233"/>
      <c r="G102" s="228"/>
      <c r="H102" s="228"/>
      <c r="I102" s="228"/>
      <c r="J102" s="228"/>
      <c r="K102" s="228"/>
      <c r="L102" s="228"/>
      <c r="M102" s="228"/>
      <c r="N102" s="228"/>
      <c r="O102" s="228"/>
      <c r="P102" s="228"/>
      <c r="Q102" s="228"/>
      <c r="R102" s="228"/>
      <c r="S102" s="228"/>
      <c r="T102" s="228"/>
      <c r="U102" s="449"/>
      <c r="V102" s="449"/>
      <c r="W102" s="43"/>
      <c r="X102" s="1"/>
    </row>
    <row r="103" spans="2:24" x14ac:dyDescent="0.2">
      <c r="C103" s="492" t="s">
        <v>555</v>
      </c>
      <c r="D103" s="492"/>
      <c r="E103" s="233"/>
      <c r="G103" s="228"/>
      <c r="H103" s="228"/>
      <c r="I103" s="228"/>
      <c r="J103" s="228"/>
      <c r="K103" s="228"/>
      <c r="L103" s="228"/>
      <c r="M103" s="228"/>
      <c r="N103" s="228"/>
      <c r="O103" s="228"/>
      <c r="P103" s="228"/>
      <c r="Q103" s="228"/>
      <c r="R103" s="228"/>
      <c r="S103" s="228"/>
      <c r="T103" s="228"/>
      <c r="U103" s="449"/>
      <c r="V103" s="449"/>
      <c r="W103" s="43"/>
      <c r="X103" s="1"/>
    </row>
    <row r="104" spans="2:24" x14ac:dyDescent="0.2">
      <c r="C104" s="493" t="s">
        <v>556</v>
      </c>
      <c r="D104" s="233"/>
      <c r="E104" s="233"/>
      <c r="F104" s="460"/>
      <c r="G104" s="233"/>
      <c r="H104" s="233"/>
      <c r="I104" s="233"/>
      <c r="J104" s="233"/>
      <c r="K104" s="233"/>
      <c r="L104" s="233"/>
      <c r="M104" s="233"/>
      <c r="N104" s="233"/>
      <c r="O104" s="233"/>
      <c r="P104" s="233"/>
      <c r="Q104" s="233"/>
      <c r="R104" s="233"/>
      <c r="S104" s="233"/>
      <c r="T104" s="233"/>
      <c r="U104" s="449"/>
      <c r="V104" s="449"/>
      <c r="W104" s="43"/>
      <c r="X104" s="1"/>
    </row>
    <row r="105" spans="2:24" x14ac:dyDescent="0.2">
      <c r="C105" s="494" t="s">
        <v>557</v>
      </c>
      <c r="G105" s="228"/>
      <c r="H105" s="228"/>
      <c r="I105" s="228"/>
      <c r="J105" s="228"/>
      <c r="K105" s="228"/>
      <c r="L105" s="228"/>
      <c r="M105" s="228"/>
      <c r="N105" s="228"/>
      <c r="O105" s="228"/>
      <c r="P105" s="228"/>
      <c r="Q105" s="228"/>
      <c r="R105" s="228"/>
      <c r="S105" s="228"/>
      <c r="T105" s="228"/>
      <c r="U105" s="449"/>
      <c r="V105" s="449"/>
      <c r="W105" s="449"/>
    </row>
    <row r="106" spans="2:24" ht="13.5" x14ac:dyDescent="0.2">
      <c r="C106" s="495"/>
      <c r="G106" s="228"/>
      <c r="H106" s="228"/>
      <c r="I106" s="228"/>
      <c r="J106" s="228"/>
      <c r="K106" s="228"/>
      <c r="L106" s="228"/>
      <c r="M106" s="228"/>
      <c r="N106" s="228"/>
      <c r="O106" s="228"/>
      <c r="P106" s="228"/>
      <c r="Q106" s="228"/>
      <c r="R106" s="228"/>
      <c r="S106" s="228"/>
      <c r="T106" s="228"/>
      <c r="U106" s="449"/>
      <c r="V106" s="449"/>
      <c r="W106" s="449"/>
    </row>
    <row r="107" spans="2:24" s="498" customFormat="1" x14ac:dyDescent="0.2">
      <c r="F107" s="499"/>
      <c r="G107" s="228"/>
      <c r="H107" s="228"/>
      <c r="I107" s="228"/>
      <c r="J107" s="228"/>
      <c r="K107" s="228"/>
      <c r="L107" s="228"/>
      <c r="M107" s="228"/>
      <c r="N107" s="228"/>
      <c r="O107" s="228"/>
      <c r="P107" s="228"/>
      <c r="Q107" s="228"/>
      <c r="R107" s="228"/>
      <c r="S107" s="228"/>
      <c r="T107" s="228"/>
      <c r="U107" s="499"/>
      <c r="V107" s="499"/>
      <c r="W107" s="499"/>
    </row>
    <row r="108" spans="2:24" s="498" customFormat="1" x14ac:dyDescent="0.2">
      <c r="F108" s="499"/>
      <c r="G108" s="228"/>
      <c r="H108" s="228"/>
      <c r="I108" s="228"/>
      <c r="J108" s="228"/>
      <c r="K108" s="228"/>
      <c r="L108" s="228"/>
      <c r="M108" s="228"/>
      <c r="N108" s="228"/>
      <c r="O108" s="228"/>
      <c r="P108" s="228"/>
      <c r="Q108" s="228"/>
      <c r="R108" s="228"/>
      <c r="S108" s="228"/>
      <c r="T108" s="228"/>
      <c r="U108" s="499"/>
      <c r="V108" s="499"/>
      <c r="W108" s="499"/>
    </row>
    <row r="109" spans="2:24" s="498" customFormat="1" x14ac:dyDescent="0.2">
      <c r="F109" s="499"/>
      <c r="G109" s="228"/>
      <c r="H109" s="228"/>
      <c r="I109" s="497"/>
      <c r="J109" s="228"/>
      <c r="K109" s="228"/>
      <c r="L109" s="228"/>
      <c r="M109" s="228"/>
      <c r="N109" s="228"/>
      <c r="O109" s="228"/>
      <c r="P109" s="228"/>
      <c r="Q109" s="228"/>
      <c r="R109" s="228"/>
      <c r="S109" s="228"/>
      <c r="T109" s="228"/>
      <c r="U109" s="499"/>
      <c r="V109" s="499"/>
      <c r="W109" s="499"/>
      <c r="X109" s="500"/>
    </row>
    <row r="110" spans="2:24" s="498" customFormat="1" x14ac:dyDescent="0.2">
      <c r="F110" s="499"/>
      <c r="G110" s="228"/>
      <c r="H110" s="228"/>
      <c r="I110" s="228"/>
      <c r="J110" s="228"/>
      <c r="K110" s="228"/>
      <c r="L110" s="228"/>
      <c r="M110" s="228"/>
      <c r="N110" s="228"/>
      <c r="O110" s="228"/>
      <c r="P110" s="228"/>
      <c r="Q110" s="228"/>
      <c r="R110" s="228"/>
      <c r="S110" s="228"/>
      <c r="T110" s="228"/>
      <c r="U110" s="499"/>
      <c r="V110" s="499"/>
      <c r="W110" s="499"/>
    </row>
    <row r="111" spans="2:24" s="498" customFormat="1" x14ac:dyDescent="0.2">
      <c r="F111" s="499"/>
      <c r="G111" s="228"/>
      <c r="H111" s="228"/>
      <c r="I111" s="228"/>
      <c r="J111" s="228"/>
      <c r="K111" s="228"/>
      <c r="L111" s="228"/>
      <c r="M111" s="228"/>
      <c r="N111" s="228"/>
      <c r="O111" s="228"/>
      <c r="P111" s="228"/>
      <c r="Q111" s="228"/>
      <c r="R111" s="228"/>
      <c r="S111" s="228"/>
      <c r="T111" s="228"/>
      <c r="U111" s="499"/>
      <c r="V111" s="499"/>
      <c r="W111" s="499"/>
    </row>
    <row r="112" spans="2:24" s="498" customFormat="1" x14ac:dyDescent="0.2">
      <c r="F112" s="499"/>
      <c r="G112" s="228"/>
      <c r="H112" s="228"/>
      <c r="I112" s="228"/>
      <c r="J112" s="25"/>
      <c r="K112" s="228"/>
      <c r="L112" s="228"/>
      <c r="M112" s="228"/>
      <c r="N112" s="228"/>
      <c r="O112" s="228"/>
      <c r="P112" s="228"/>
      <c r="Q112" s="228"/>
      <c r="R112" s="228"/>
      <c r="S112" s="228"/>
      <c r="T112" s="25"/>
      <c r="U112" s="499"/>
      <c r="V112" s="499"/>
      <c r="W112" s="499"/>
    </row>
    <row r="113" spans="6:25" s="498" customFormat="1" x14ac:dyDescent="0.2">
      <c r="F113" s="499"/>
      <c r="G113" s="228"/>
      <c r="H113" s="228"/>
      <c r="I113" s="228"/>
      <c r="J113" s="228"/>
      <c r="K113" s="228"/>
      <c r="L113" s="228"/>
      <c r="M113" s="228"/>
      <c r="N113" s="228"/>
      <c r="O113" s="228"/>
      <c r="P113" s="228"/>
      <c r="Q113" s="228"/>
      <c r="R113" s="228"/>
      <c r="S113" s="228"/>
      <c r="T113" s="228"/>
      <c r="U113" s="499"/>
      <c r="V113" s="499"/>
      <c r="W113" s="499"/>
    </row>
    <row r="114" spans="6:25" s="498" customFormat="1" x14ac:dyDescent="0.2">
      <c r="F114" s="499"/>
      <c r="G114" s="228"/>
      <c r="H114" s="228"/>
      <c r="I114" s="228"/>
      <c r="J114" s="228"/>
      <c r="K114" s="228"/>
      <c r="L114" s="496"/>
      <c r="M114" s="228"/>
      <c r="N114" s="228"/>
      <c r="O114" s="228"/>
      <c r="P114" s="222"/>
      <c r="Q114" s="228"/>
      <c r="R114" s="228"/>
      <c r="S114" s="228"/>
      <c r="T114" s="228"/>
      <c r="U114" s="499"/>
      <c r="V114" s="499"/>
      <c r="W114" s="499"/>
    </row>
    <row r="115" spans="6:25" s="498" customFormat="1" x14ac:dyDescent="0.2">
      <c r="F115" s="499"/>
      <c r="G115" s="222"/>
      <c r="H115" s="228"/>
      <c r="I115" s="228"/>
      <c r="J115" s="228"/>
      <c r="K115" s="228"/>
      <c r="L115" s="228"/>
      <c r="M115" s="228"/>
      <c r="N115" s="228"/>
      <c r="O115" s="228"/>
      <c r="P115" s="228"/>
      <c r="Q115" s="228"/>
      <c r="R115" s="222"/>
      <c r="S115" s="228"/>
      <c r="T115" s="228"/>
      <c r="U115" s="499"/>
      <c r="V115" s="499"/>
      <c r="W115" s="499"/>
    </row>
    <row r="116" spans="6:25" s="498" customFormat="1" x14ac:dyDescent="0.2">
      <c r="F116" s="499"/>
      <c r="G116" s="222"/>
      <c r="H116" s="228"/>
      <c r="I116" s="228"/>
      <c r="J116" s="228"/>
      <c r="K116" s="228"/>
      <c r="L116" s="228"/>
      <c r="M116" s="228"/>
      <c r="N116" s="228"/>
      <c r="O116" s="222"/>
      <c r="P116" s="228"/>
      <c r="Q116" s="228"/>
      <c r="R116" s="228"/>
      <c r="S116" s="228"/>
      <c r="T116" s="228"/>
      <c r="U116" s="499"/>
      <c r="V116" s="499"/>
      <c r="W116" s="499"/>
      <c r="Y116" s="501"/>
    </row>
    <row r="117" spans="6:25" s="498" customFormat="1" x14ac:dyDescent="0.2">
      <c r="F117" s="499"/>
      <c r="G117" s="228"/>
      <c r="H117" s="228"/>
      <c r="I117" s="228"/>
      <c r="J117" s="228"/>
      <c r="K117" s="228"/>
      <c r="L117" s="228"/>
      <c r="M117" s="228"/>
      <c r="N117" s="228"/>
      <c r="O117" s="228"/>
      <c r="P117" s="228"/>
      <c r="Q117" s="228"/>
      <c r="R117" s="228"/>
      <c r="S117" s="228"/>
      <c r="T117" s="228"/>
      <c r="U117" s="499"/>
      <c r="V117" s="499"/>
      <c r="W117" s="499"/>
    </row>
    <row r="118" spans="6:25" s="498" customFormat="1" x14ac:dyDescent="0.2">
      <c r="F118" s="499"/>
      <c r="G118" s="228"/>
      <c r="H118" s="228"/>
      <c r="I118" s="228"/>
      <c r="J118" s="228"/>
      <c r="K118" s="228"/>
      <c r="L118" s="228"/>
      <c r="M118" s="228"/>
      <c r="N118" s="228"/>
      <c r="O118" s="228"/>
      <c r="P118" s="228"/>
      <c r="Q118" s="228"/>
      <c r="R118" s="228"/>
      <c r="S118" s="228"/>
      <c r="T118" s="228"/>
      <c r="U118" s="499"/>
      <c r="V118" s="499"/>
      <c r="W118" s="499"/>
    </row>
    <row r="119" spans="6:25" s="498" customFormat="1" x14ac:dyDescent="0.2">
      <c r="F119" s="499"/>
      <c r="G119" s="228"/>
      <c r="H119" s="228"/>
      <c r="I119" s="228"/>
      <c r="J119" s="228"/>
      <c r="K119" s="228"/>
      <c r="L119" s="228"/>
      <c r="M119" s="228"/>
      <c r="N119" s="228"/>
      <c r="O119" s="228"/>
      <c r="P119" s="228"/>
      <c r="Q119" s="228"/>
      <c r="R119" s="228"/>
      <c r="S119" s="228"/>
      <c r="T119" s="228"/>
      <c r="U119" s="499"/>
      <c r="V119" s="499"/>
      <c r="W119" s="499"/>
    </row>
    <row r="120" spans="6:25" s="498" customFormat="1" x14ac:dyDescent="0.2">
      <c r="F120" s="499"/>
      <c r="G120" s="228"/>
      <c r="H120" s="228"/>
      <c r="I120" s="228"/>
      <c r="J120" s="228"/>
      <c r="K120" s="228"/>
      <c r="L120" s="228"/>
      <c r="M120" s="228"/>
      <c r="N120" s="228"/>
      <c r="O120" s="228"/>
      <c r="P120" s="228"/>
      <c r="Q120" s="228"/>
      <c r="R120" s="228"/>
      <c r="S120" s="228"/>
      <c r="T120" s="228"/>
      <c r="U120" s="499"/>
      <c r="V120" s="499"/>
      <c r="W120" s="499"/>
    </row>
    <row r="121" spans="6:25" x14ac:dyDescent="0.2">
      <c r="G121" s="228"/>
      <c r="H121" s="228"/>
      <c r="I121" s="228"/>
      <c r="J121" s="228"/>
      <c r="K121" s="228"/>
      <c r="L121" s="228"/>
      <c r="M121" s="228"/>
      <c r="N121" s="228"/>
      <c r="O121" s="228"/>
      <c r="P121" s="228"/>
      <c r="Q121" s="228"/>
      <c r="R121" s="228"/>
      <c r="S121" s="228"/>
      <c r="T121" s="228"/>
      <c r="U121" s="449"/>
      <c r="V121" s="449"/>
      <c r="W121" s="449"/>
    </row>
    <row r="122" spans="6:25" x14ac:dyDescent="0.2">
      <c r="G122" s="228"/>
      <c r="H122" s="228"/>
      <c r="I122" s="228"/>
      <c r="J122" s="228"/>
      <c r="K122" s="228"/>
      <c r="L122" s="228"/>
      <c r="M122" s="228"/>
      <c r="N122" s="228"/>
      <c r="O122" s="228"/>
      <c r="P122" s="228"/>
      <c r="Q122" s="228"/>
      <c r="R122" s="228"/>
      <c r="S122" s="228"/>
      <c r="T122" s="228"/>
      <c r="U122" s="449"/>
      <c r="V122" s="449"/>
      <c r="W122" s="449"/>
    </row>
    <row r="123" spans="6:25" x14ac:dyDescent="0.2">
      <c r="G123" s="228"/>
      <c r="H123" s="228"/>
      <c r="I123" s="228"/>
      <c r="J123" s="228"/>
      <c r="K123" s="228"/>
      <c r="L123" s="228"/>
      <c r="M123" s="228"/>
      <c r="N123" s="228"/>
      <c r="O123" s="228"/>
      <c r="P123" s="228"/>
      <c r="Q123" s="228"/>
      <c r="R123" s="228"/>
      <c r="S123" s="228"/>
      <c r="T123" s="228"/>
      <c r="U123" s="449"/>
      <c r="V123" s="449"/>
      <c r="W123" s="449"/>
    </row>
    <row r="124" spans="6:25" x14ac:dyDescent="0.2">
      <c r="G124" s="228"/>
      <c r="H124" s="228"/>
      <c r="I124" s="228"/>
      <c r="J124" s="228"/>
      <c r="K124" s="228"/>
      <c r="L124" s="228"/>
      <c r="M124" s="228"/>
      <c r="N124" s="228"/>
      <c r="O124" s="228"/>
      <c r="P124" s="228"/>
      <c r="Q124" s="228"/>
      <c r="R124" s="228"/>
      <c r="S124" s="228"/>
      <c r="T124" s="228"/>
      <c r="U124" s="449"/>
      <c r="V124" s="449"/>
      <c r="W124" s="449"/>
    </row>
    <row r="125" spans="6:25" x14ac:dyDescent="0.2">
      <c r="G125" s="228"/>
      <c r="H125" s="228"/>
      <c r="I125" s="228"/>
      <c r="J125" s="228"/>
      <c r="K125" s="228"/>
      <c r="L125" s="228"/>
      <c r="M125" s="228"/>
      <c r="N125" s="228"/>
      <c r="O125" s="228"/>
      <c r="P125" s="228"/>
      <c r="Q125" s="228"/>
      <c r="R125" s="228"/>
      <c r="S125" s="228"/>
      <c r="T125" s="228"/>
      <c r="U125" s="449"/>
      <c r="V125" s="449"/>
      <c r="W125" s="449"/>
    </row>
    <row r="126" spans="6:25" x14ac:dyDescent="0.2">
      <c r="G126" s="228"/>
      <c r="H126" s="228"/>
      <c r="I126" s="228"/>
      <c r="J126" s="228"/>
      <c r="K126" s="228"/>
      <c r="L126" s="228"/>
      <c r="M126" s="228"/>
      <c r="N126" s="228"/>
      <c r="O126" s="228"/>
      <c r="P126" s="228"/>
      <c r="Q126" s="228"/>
      <c r="R126" s="228"/>
      <c r="S126" s="228"/>
      <c r="T126" s="228"/>
      <c r="U126" s="449"/>
      <c r="V126" s="449"/>
      <c r="W126" s="449"/>
    </row>
    <row r="127" spans="6:25" x14ac:dyDescent="0.2">
      <c r="G127" s="228"/>
      <c r="H127" s="228"/>
      <c r="I127" s="228"/>
      <c r="J127" s="228"/>
      <c r="K127" s="228"/>
      <c r="L127" s="228"/>
      <c r="M127" s="228"/>
      <c r="N127" s="228"/>
      <c r="O127" s="228"/>
      <c r="P127" s="228"/>
      <c r="Q127" s="228"/>
      <c r="R127" s="228"/>
      <c r="S127" s="228"/>
      <c r="T127" s="228"/>
      <c r="U127" s="449"/>
      <c r="V127" s="449"/>
      <c r="W127" s="449"/>
    </row>
    <row r="128" spans="6:25" x14ac:dyDescent="0.2">
      <c r="G128" s="228"/>
      <c r="H128" s="228"/>
      <c r="I128" s="228"/>
      <c r="J128" s="228"/>
      <c r="K128" s="228"/>
      <c r="L128" s="228"/>
      <c r="M128" s="228"/>
      <c r="N128" s="228"/>
      <c r="O128" s="228"/>
      <c r="P128" s="228"/>
      <c r="Q128" s="228"/>
      <c r="R128" s="228"/>
      <c r="S128" s="228"/>
      <c r="T128" s="228"/>
      <c r="U128" s="449"/>
      <c r="V128" s="449"/>
      <c r="W128" s="449"/>
    </row>
    <row r="129" spans="2:23" x14ac:dyDescent="0.2">
      <c r="G129" s="228"/>
      <c r="H129" s="228"/>
      <c r="I129" s="228"/>
      <c r="J129" s="228"/>
      <c r="K129" s="228"/>
      <c r="L129" s="228"/>
      <c r="M129" s="228"/>
      <c r="N129" s="228"/>
      <c r="O129" s="228"/>
      <c r="P129" s="228"/>
      <c r="Q129" s="228"/>
      <c r="R129" s="228"/>
      <c r="S129" s="228"/>
      <c r="T129" s="228"/>
      <c r="U129" s="449"/>
      <c r="V129" s="449"/>
      <c r="W129" s="449"/>
    </row>
    <row r="130" spans="2:23" x14ac:dyDescent="0.2">
      <c r="B130" s="233"/>
      <c r="G130" s="228"/>
      <c r="H130" s="228"/>
      <c r="I130" s="228"/>
      <c r="J130" s="228"/>
      <c r="K130" s="228"/>
      <c r="L130" s="228"/>
      <c r="M130" s="228"/>
      <c r="N130" s="228"/>
      <c r="O130" s="228"/>
      <c r="P130" s="228"/>
      <c r="Q130" s="228"/>
      <c r="R130" s="228"/>
      <c r="S130" s="228"/>
      <c r="T130" s="228"/>
      <c r="U130" s="449"/>
      <c r="V130" s="449"/>
      <c r="W130" s="449"/>
    </row>
    <row r="131" spans="2:23" x14ac:dyDescent="0.2">
      <c r="G131" s="228"/>
      <c r="H131" s="228"/>
      <c r="I131" s="228"/>
      <c r="J131" s="228"/>
      <c r="K131" s="228"/>
      <c r="L131" s="228"/>
      <c r="M131" s="228"/>
      <c r="N131" s="228"/>
      <c r="O131" s="228"/>
      <c r="P131" s="228"/>
      <c r="Q131" s="228"/>
      <c r="R131" s="228"/>
      <c r="S131" s="228"/>
      <c r="T131" s="228"/>
      <c r="U131" s="449"/>
      <c r="V131" s="449"/>
      <c r="W131" s="449"/>
    </row>
    <row r="132" spans="2:23" x14ac:dyDescent="0.2">
      <c r="G132" s="228"/>
      <c r="H132" s="228"/>
      <c r="I132" s="228"/>
      <c r="J132" s="228"/>
      <c r="K132" s="228"/>
      <c r="L132" s="228"/>
      <c r="M132" s="228"/>
      <c r="N132" s="228"/>
      <c r="O132" s="228"/>
      <c r="P132" s="228"/>
      <c r="Q132" s="228"/>
      <c r="R132" s="228"/>
      <c r="S132" s="228"/>
      <c r="T132" s="228"/>
      <c r="U132" s="449"/>
      <c r="V132" s="449"/>
      <c r="W132" s="449"/>
    </row>
    <row r="133" spans="2:23" x14ac:dyDescent="0.2">
      <c r="G133" s="228"/>
      <c r="H133" s="228"/>
      <c r="I133" s="228"/>
      <c r="J133" s="228"/>
      <c r="K133" s="228"/>
      <c r="L133" s="228"/>
      <c r="M133" s="228"/>
      <c r="N133" s="228"/>
      <c r="O133" s="228"/>
      <c r="P133" s="228"/>
      <c r="Q133" s="228"/>
      <c r="R133" s="228"/>
      <c r="S133" s="228"/>
      <c r="T133" s="228"/>
      <c r="U133" s="449"/>
      <c r="V133" s="449"/>
      <c r="W133" s="449"/>
    </row>
    <row r="134" spans="2:23" x14ac:dyDescent="0.2">
      <c r="G134" s="228"/>
      <c r="H134" s="228"/>
      <c r="I134" s="228"/>
      <c r="J134" s="228"/>
      <c r="K134" s="228"/>
      <c r="L134" s="228"/>
      <c r="M134" s="228"/>
      <c r="N134" s="228"/>
      <c r="O134" s="228"/>
      <c r="P134" s="228"/>
      <c r="Q134" s="228"/>
      <c r="R134" s="228"/>
      <c r="S134" s="228"/>
      <c r="T134" s="228"/>
      <c r="U134" s="449"/>
      <c r="V134" s="449"/>
      <c r="W134" s="449"/>
    </row>
    <row r="135" spans="2:23" x14ac:dyDescent="0.2">
      <c r="G135" s="228"/>
      <c r="H135" s="228"/>
      <c r="I135" s="228"/>
      <c r="J135" s="228"/>
      <c r="K135" s="228"/>
      <c r="L135" s="228"/>
      <c r="M135" s="228"/>
      <c r="N135" s="228"/>
      <c r="O135" s="228"/>
      <c r="P135" s="228"/>
      <c r="Q135" s="228"/>
      <c r="R135" s="228"/>
      <c r="S135" s="228"/>
      <c r="T135" s="228"/>
      <c r="U135" s="449"/>
      <c r="V135" s="449"/>
      <c r="W135" s="449"/>
    </row>
    <row r="136" spans="2:23" x14ac:dyDescent="0.2">
      <c r="G136" s="228"/>
      <c r="H136" s="228"/>
      <c r="I136" s="228"/>
      <c r="J136" s="228"/>
      <c r="K136" s="228"/>
      <c r="L136" s="228"/>
      <c r="M136" s="228"/>
      <c r="N136" s="228"/>
      <c r="O136" s="228"/>
      <c r="P136" s="228"/>
      <c r="Q136" s="228"/>
      <c r="R136" s="228"/>
      <c r="S136" s="228"/>
      <c r="T136" s="228"/>
      <c r="U136" s="449"/>
      <c r="V136" s="449"/>
      <c r="W136" s="449"/>
    </row>
    <row r="137" spans="2:23" x14ac:dyDescent="0.2">
      <c r="G137" s="228"/>
      <c r="H137" s="228"/>
      <c r="I137" s="228"/>
      <c r="J137" s="228"/>
      <c r="K137" s="228"/>
      <c r="L137" s="228"/>
      <c r="M137" s="228"/>
      <c r="N137" s="228"/>
      <c r="O137" s="228"/>
      <c r="P137" s="228"/>
      <c r="Q137" s="228"/>
      <c r="R137" s="228"/>
      <c r="S137" s="228"/>
      <c r="T137" s="228"/>
      <c r="U137" s="449"/>
      <c r="V137" s="449"/>
      <c r="W137" s="449"/>
    </row>
    <row r="138" spans="2:23" x14ac:dyDescent="0.2">
      <c r="G138" s="228"/>
      <c r="H138" s="228"/>
      <c r="I138" s="228"/>
      <c r="J138" s="228"/>
      <c r="K138" s="228"/>
      <c r="L138" s="228"/>
      <c r="M138" s="228"/>
      <c r="N138" s="228"/>
      <c r="O138" s="228"/>
      <c r="P138" s="228"/>
      <c r="Q138" s="228"/>
      <c r="R138" s="228"/>
      <c r="S138" s="228"/>
      <c r="T138" s="228"/>
      <c r="U138" s="449"/>
      <c r="V138" s="449"/>
      <c r="W138" s="449"/>
    </row>
    <row r="139" spans="2:23" x14ac:dyDescent="0.2">
      <c r="G139" s="228"/>
      <c r="H139" s="228"/>
      <c r="I139" s="228"/>
      <c r="J139" s="228"/>
      <c r="K139" s="228"/>
      <c r="L139" s="228"/>
      <c r="M139" s="228"/>
      <c r="N139" s="228"/>
      <c r="O139" s="228"/>
      <c r="P139" s="228"/>
      <c r="Q139" s="228"/>
      <c r="R139" s="228"/>
      <c r="S139" s="228"/>
      <c r="T139" s="228"/>
      <c r="U139" s="449"/>
      <c r="V139" s="449"/>
      <c r="W139" s="449"/>
    </row>
    <row r="140" spans="2:23" x14ac:dyDescent="0.2">
      <c r="G140" s="228"/>
      <c r="H140" s="228"/>
      <c r="I140" s="228"/>
      <c r="J140" s="228"/>
      <c r="K140" s="228"/>
      <c r="L140" s="228"/>
      <c r="M140" s="228"/>
      <c r="N140" s="228"/>
      <c r="O140" s="228"/>
      <c r="P140" s="228"/>
      <c r="Q140" s="228"/>
      <c r="R140" s="228"/>
      <c r="S140" s="228"/>
      <c r="T140" s="228"/>
      <c r="U140" s="449"/>
      <c r="V140" s="449"/>
      <c r="W140" s="449"/>
    </row>
    <row r="141" spans="2:23" x14ac:dyDescent="0.2">
      <c r="G141" s="228"/>
      <c r="H141" s="228"/>
      <c r="I141" s="228"/>
      <c r="J141" s="228"/>
      <c r="K141" s="228"/>
      <c r="L141" s="228"/>
      <c r="M141" s="228"/>
      <c r="N141" s="228"/>
      <c r="O141" s="228"/>
      <c r="P141" s="228"/>
      <c r="Q141" s="228"/>
      <c r="R141" s="228"/>
      <c r="S141" s="228"/>
      <c r="T141" s="228"/>
      <c r="U141" s="449"/>
      <c r="V141" s="449"/>
      <c r="W141" s="449"/>
    </row>
    <row r="142" spans="2:23" x14ac:dyDescent="0.2">
      <c r="G142" s="228"/>
      <c r="H142" s="228"/>
      <c r="I142" s="228"/>
      <c r="J142" s="228"/>
      <c r="K142" s="228"/>
      <c r="L142" s="228"/>
      <c r="M142" s="228"/>
      <c r="N142" s="228"/>
      <c r="O142" s="228"/>
      <c r="P142" s="228"/>
      <c r="Q142" s="228"/>
      <c r="R142" s="228"/>
      <c r="S142" s="228"/>
      <c r="T142" s="228"/>
      <c r="U142" s="449"/>
      <c r="V142" s="449"/>
      <c r="W142" s="449"/>
    </row>
    <row r="143" spans="2:23" x14ac:dyDescent="0.2">
      <c r="G143" s="228"/>
      <c r="H143" s="228"/>
      <c r="I143" s="228"/>
      <c r="J143" s="228"/>
      <c r="K143" s="228"/>
      <c r="L143" s="228"/>
      <c r="M143" s="228"/>
      <c r="N143" s="228"/>
      <c r="O143" s="228"/>
      <c r="P143" s="228"/>
      <c r="Q143" s="228"/>
      <c r="R143" s="228"/>
      <c r="S143" s="228"/>
      <c r="T143" s="228"/>
      <c r="U143" s="449"/>
      <c r="V143" s="449"/>
      <c r="W143" s="449"/>
    </row>
    <row r="144" spans="2:23" x14ac:dyDescent="0.2">
      <c r="G144" s="228"/>
      <c r="H144" s="228"/>
      <c r="I144" s="228"/>
      <c r="J144" s="228"/>
      <c r="K144" s="228"/>
      <c r="L144" s="228"/>
      <c r="M144" s="228"/>
      <c r="N144" s="228"/>
      <c r="O144" s="228"/>
      <c r="P144" s="228"/>
      <c r="Q144" s="228"/>
      <c r="R144" s="228"/>
      <c r="S144" s="228"/>
      <c r="T144" s="228"/>
      <c r="U144" s="449"/>
      <c r="V144" s="449"/>
      <c r="W144" s="449"/>
    </row>
    <row r="145" spans="7:23" x14ac:dyDescent="0.2">
      <c r="G145" s="228"/>
      <c r="H145" s="228"/>
      <c r="I145" s="228"/>
      <c r="J145" s="228"/>
      <c r="K145" s="228"/>
      <c r="L145" s="228"/>
      <c r="M145" s="228"/>
      <c r="N145" s="228"/>
      <c r="O145" s="228"/>
      <c r="P145" s="228"/>
      <c r="Q145" s="228"/>
      <c r="R145" s="228"/>
      <c r="S145" s="228"/>
      <c r="T145" s="228"/>
      <c r="U145" s="449"/>
      <c r="V145" s="449"/>
      <c r="W145" s="449"/>
    </row>
    <row r="146" spans="7:23" x14ac:dyDescent="0.2">
      <c r="G146" s="228"/>
      <c r="H146" s="228"/>
      <c r="I146" s="228"/>
      <c r="J146" s="228"/>
      <c r="K146" s="228"/>
      <c r="L146" s="228"/>
      <c r="M146" s="228"/>
      <c r="N146" s="228"/>
      <c r="O146" s="228"/>
      <c r="P146" s="228"/>
      <c r="Q146" s="228"/>
      <c r="R146" s="228"/>
      <c r="S146" s="228"/>
      <c r="T146" s="228"/>
      <c r="U146" s="449"/>
      <c r="V146" s="449"/>
      <c r="W146" s="449"/>
    </row>
    <row r="147" spans="7:23" x14ac:dyDescent="0.2">
      <c r="G147" s="228"/>
      <c r="H147" s="228"/>
      <c r="I147" s="228"/>
      <c r="J147" s="228"/>
      <c r="K147" s="228"/>
      <c r="L147" s="228"/>
      <c r="M147" s="228"/>
      <c r="N147" s="228"/>
      <c r="O147" s="228"/>
      <c r="P147" s="228"/>
      <c r="Q147" s="228"/>
      <c r="R147" s="228"/>
      <c r="S147" s="228"/>
      <c r="T147" s="228"/>
      <c r="U147" s="449"/>
      <c r="V147" s="449"/>
      <c r="W147" s="449"/>
    </row>
    <row r="148" spans="7:23" x14ac:dyDescent="0.2">
      <c r="G148" s="228"/>
      <c r="H148" s="228"/>
      <c r="I148" s="228"/>
      <c r="J148" s="228"/>
      <c r="K148" s="228"/>
      <c r="L148" s="228"/>
      <c r="M148" s="228"/>
      <c r="N148" s="228"/>
      <c r="O148" s="228"/>
      <c r="P148" s="228"/>
      <c r="Q148" s="228"/>
      <c r="R148" s="228"/>
      <c r="S148" s="228"/>
      <c r="T148" s="228"/>
      <c r="U148" s="449"/>
      <c r="V148" s="449"/>
      <c r="W148" s="449"/>
    </row>
    <row r="149" spans="7:23" x14ac:dyDescent="0.2">
      <c r="G149" s="228"/>
      <c r="H149" s="228"/>
      <c r="I149" s="228"/>
      <c r="J149" s="228"/>
      <c r="K149" s="228"/>
      <c r="L149" s="228"/>
      <c r="M149" s="228"/>
      <c r="N149" s="228"/>
      <c r="O149" s="228"/>
      <c r="P149" s="228"/>
      <c r="Q149" s="228"/>
      <c r="R149" s="228"/>
      <c r="S149" s="228"/>
      <c r="T149" s="228"/>
      <c r="U149" s="449"/>
      <c r="V149" s="449"/>
      <c r="W149" s="449"/>
    </row>
    <row r="150" spans="7:23" x14ac:dyDescent="0.2">
      <c r="G150" s="228"/>
      <c r="H150" s="228"/>
      <c r="I150" s="228"/>
      <c r="J150" s="228"/>
      <c r="K150" s="228"/>
      <c r="L150" s="228"/>
      <c r="M150" s="228"/>
      <c r="N150" s="228"/>
      <c r="O150" s="228"/>
      <c r="P150" s="228"/>
      <c r="Q150" s="228"/>
      <c r="R150" s="228"/>
      <c r="S150" s="228"/>
      <c r="T150" s="228"/>
      <c r="U150" s="449"/>
      <c r="V150" s="449"/>
      <c r="W150" s="449"/>
    </row>
    <row r="151" spans="7:23" x14ac:dyDescent="0.2">
      <c r="G151" s="228"/>
      <c r="H151" s="228"/>
      <c r="I151" s="228"/>
      <c r="J151" s="228"/>
      <c r="K151" s="228"/>
      <c r="L151" s="228"/>
      <c r="M151" s="228"/>
      <c r="N151" s="228"/>
      <c r="O151" s="228"/>
      <c r="P151" s="228"/>
      <c r="Q151" s="228"/>
      <c r="R151" s="228"/>
      <c r="S151" s="228"/>
      <c r="T151" s="228"/>
      <c r="U151" s="449"/>
      <c r="V151" s="449"/>
      <c r="W151" s="449"/>
    </row>
    <row r="152" spans="7:23" x14ac:dyDescent="0.2">
      <c r="G152" s="228"/>
      <c r="H152" s="228"/>
      <c r="I152" s="228"/>
      <c r="J152" s="228"/>
      <c r="K152" s="228"/>
      <c r="L152" s="228"/>
      <c r="M152" s="228"/>
      <c r="N152" s="228"/>
      <c r="O152" s="228"/>
      <c r="P152" s="228"/>
      <c r="Q152" s="228"/>
      <c r="R152" s="228"/>
      <c r="S152" s="228"/>
      <c r="T152" s="228"/>
      <c r="U152" s="449"/>
      <c r="V152" s="449"/>
      <c r="W152" s="449"/>
    </row>
    <row r="153" spans="7:23" x14ac:dyDescent="0.2">
      <c r="G153" s="228"/>
      <c r="H153" s="228"/>
      <c r="I153" s="228"/>
      <c r="J153" s="228"/>
      <c r="K153" s="228"/>
      <c r="L153" s="228"/>
      <c r="M153" s="228"/>
      <c r="N153" s="228"/>
      <c r="O153" s="228"/>
      <c r="P153" s="228"/>
      <c r="Q153" s="228"/>
      <c r="R153" s="228"/>
      <c r="S153" s="228"/>
      <c r="T153" s="228"/>
      <c r="U153" s="449"/>
      <c r="V153" s="449"/>
      <c r="W153" s="449"/>
    </row>
    <row r="154" spans="7:23" x14ac:dyDescent="0.2">
      <c r="G154" s="228"/>
      <c r="H154" s="228"/>
      <c r="I154" s="228"/>
      <c r="J154" s="228"/>
      <c r="K154" s="228"/>
      <c r="L154" s="228"/>
      <c r="M154" s="228"/>
      <c r="N154" s="228"/>
      <c r="O154" s="228"/>
      <c r="P154" s="228"/>
      <c r="Q154" s="228"/>
      <c r="R154" s="228"/>
      <c r="S154" s="228"/>
      <c r="T154" s="228"/>
      <c r="U154" s="449"/>
      <c r="V154" s="449"/>
      <c r="W154" s="449"/>
    </row>
    <row r="155" spans="7:23" x14ac:dyDescent="0.2">
      <c r="G155" s="228"/>
      <c r="H155" s="228"/>
      <c r="I155" s="228"/>
      <c r="J155" s="228"/>
      <c r="K155" s="228"/>
      <c r="L155" s="228"/>
      <c r="M155" s="228"/>
      <c r="N155" s="228"/>
      <c r="O155" s="228"/>
      <c r="P155" s="228"/>
      <c r="Q155" s="228"/>
      <c r="R155" s="228"/>
      <c r="S155" s="228"/>
      <c r="T155" s="228"/>
      <c r="U155" s="449"/>
      <c r="V155" s="449"/>
      <c r="W155" s="449"/>
    </row>
    <row r="156" spans="7:23" x14ac:dyDescent="0.2">
      <c r="G156" s="228"/>
      <c r="H156" s="228"/>
      <c r="I156" s="228"/>
      <c r="J156" s="228"/>
      <c r="K156" s="228"/>
      <c r="L156" s="228"/>
      <c r="M156" s="228"/>
      <c r="N156" s="228"/>
      <c r="O156" s="228"/>
      <c r="P156" s="228"/>
      <c r="Q156" s="228"/>
      <c r="R156" s="228"/>
      <c r="S156" s="228"/>
      <c r="T156" s="228"/>
      <c r="U156" s="449"/>
      <c r="V156" s="449"/>
      <c r="W156" s="449"/>
    </row>
    <row r="157" spans="7:23" x14ac:dyDescent="0.2">
      <c r="G157" s="228"/>
      <c r="H157" s="228"/>
      <c r="I157" s="228"/>
      <c r="J157" s="228"/>
      <c r="K157" s="228"/>
      <c r="L157" s="228"/>
      <c r="M157" s="228"/>
      <c r="N157" s="228"/>
      <c r="O157" s="228"/>
      <c r="P157" s="228"/>
      <c r="Q157" s="228"/>
      <c r="R157" s="228"/>
      <c r="S157" s="228"/>
      <c r="T157" s="228"/>
      <c r="U157" s="449"/>
      <c r="V157" s="449"/>
      <c r="W157" s="449"/>
    </row>
    <row r="158" spans="7:23" x14ac:dyDescent="0.2">
      <c r="G158" s="228"/>
      <c r="H158" s="228"/>
      <c r="I158" s="228"/>
      <c r="J158" s="228"/>
      <c r="K158" s="228"/>
      <c r="L158" s="228"/>
      <c r="M158" s="228"/>
      <c r="N158" s="228"/>
      <c r="O158" s="228"/>
      <c r="P158" s="228"/>
      <c r="Q158" s="228"/>
      <c r="R158" s="228"/>
      <c r="S158" s="228"/>
      <c r="T158" s="228"/>
      <c r="U158" s="449"/>
      <c r="V158" s="449"/>
      <c r="W158" s="449"/>
    </row>
    <row r="159" spans="7:23" x14ac:dyDescent="0.2">
      <c r="G159" s="228"/>
      <c r="H159" s="228"/>
      <c r="I159" s="228"/>
      <c r="J159" s="228"/>
      <c r="K159" s="228"/>
      <c r="L159" s="228"/>
      <c r="M159" s="228"/>
      <c r="N159" s="228"/>
      <c r="O159" s="228"/>
      <c r="P159" s="228"/>
      <c r="Q159" s="228"/>
      <c r="R159" s="228"/>
      <c r="S159" s="228"/>
      <c r="T159" s="228"/>
      <c r="U159" s="449"/>
      <c r="V159" s="449"/>
      <c r="W159" s="449"/>
    </row>
    <row r="160" spans="7:23" x14ac:dyDescent="0.2">
      <c r="G160" s="228"/>
      <c r="H160" s="228"/>
      <c r="I160" s="228"/>
      <c r="J160" s="228"/>
      <c r="K160" s="228"/>
      <c r="L160" s="228"/>
      <c r="M160" s="228"/>
      <c r="N160" s="228"/>
      <c r="O160" s="228"/>
      <c r="P160" s="228"/>
      <c r="Q160" s="228"/>
      <c r="R160" s="228"/>
      <c r="S160" s="228"/>
      <c r="T160" s="228"/>
      <c r="U160" s="449"/>
      <c r="V160" s="449"/>
      <c r="W160" s="449"/>
    </row>
    <row r="161" spans="7:23" x14ac:dyDescent="0.2">
      <c r="G161" s="228"/>
      <c r="H161" s="228"/>
      <c r="I161" s="228"/>
      <c r="J161" s="228"/>
      <c r="K161" s="228"/>
      <c r="L161" s="228"/>
      <c r="M161" s="228"/>
      <c r="N161" s="228"/>
      <c r="O161" s="228"/>
      <c r="P161" s="228"/>
      <c r="Q161" s="228"/>
      <c r="R161" s="228"/>
      <c r="S161" s="228"/>
      <c r="T161" s="228"/>
      <c r="U161" s="449"/>
      <c r="V161" s="449"/>
      <c r="W161" s="449"/>
    </row>
    <row r="162" spans="7:23" x14ac:dyDescent="0.2">
      <c r="G162" s="228"/>
      <c r="H162" s="228"/>
      <c r="I162" s="228"/>
      <c r="J162" s="228"/>
      <c r="K162" s="228"/>
      <c r="L162" s="228"/>
      <c r="M162" s="228"/>
      <c r="N162" s="228"/>
      <c r="O162" s="228"/>
      <c r="P162" s="228"/>
      <c r="Q162" s="228"/>
      <c r="R162" s="228"/>
      <c r="S162" s="228"/>
      <c r="T162" s="228"/>
      <c r="U162" s="449"/>
      <c r="V162" s="449"/>
      <c r="W162" s="449"/>
    </row>
    <row r="163" spans="7:23" x14ac:dyDescent="0.2">
      <c r="G163" s="228"/>
      <c r="H163" s="228"/>
      <c r="I163" s="228"/>
      <c r="J163" s="228"/>
      <c r="K163" s="228"/>
      <c r="L163" s="228"/>
      <c r="M163" s="228"/>
      <c r="N163" s="228"/>
      <c r="O163" s="228"/>
      <c r="P163" s="228"/>
      <c r="Q163" s="228"/>
      <c r="R163" s="228"/>
      <c r="S163" s="228"/>
      <c r="T163" s="228"/>
      <c r="U163" s="449"/>
      <c r="V163" s="449"/>
      <c r="W163" s="449"/>
    </row>
    <row r="164" spans="7:23" x14ac:dyDescent="0.2">
      <c r="G164" s="228"/>
      <c r="H164" s="228"/>
      <c r="I164" s="228"/>
      <c r="J164" s="228"/>
      <c r="K164" s="228"/>
      <c r="L164" s="228"/>
      <c r="M164" s="228"/>
      <c r="N164" s="228"/>
      <c r="O164" s="228"/>
      <c r="P164" s="228"/>
      <c r="Q164" s="228"/>
      <c r="R164" s="228"/>
      <c r="S164" s="228"/>
      <c r="T164" s="228"/>
      <c r="U164" s="449"/>
      <c r="V164" s="449"/>
      <c r="W164" s="449"/>
    </row>
    <row r="165" spans="7:23" x14ac:dyDescent="0.2">
      <c r="G165" s="228"/>
      <c r="H165" s="228"/>
      <c r="I165" s="228"/>
      <c r="J165" s="228"/>
      <c r="K165" s="228"/>
      <c r="L165" s="228"/>
      <c r="M165" s="228"/>
      <c r="N165" s="228"/>
      <c r="O165" s="228"/>
      <c r="P165" s="228"/>
      <c r="Q165" s="228"/>
      <c r="R165" s="228"/>
      <c r="S165" s="228"/>
      <c r="T165" s="228"/>
      <c r="U165" s="449"/>
      <c r="V165" s="449"/>
      <c r="W165" s="449"/>
    </row>
    <row r="166" spans="7:23" x14ac:dyDescent="0.2">
      <c r="G166" s="228"/>
      <c r="H166" s="228"/>
      <c r="I166" s="228"/>
      <c r="J166" s="228"/>
      <c r="K166" s="228"/>
      <c r="L166" s="228"/>
      <c r="M166" s="228"/>
      <c r="N166" s="228"/>
      <c r="O166" s="228"/>
      <c r="P166" s="228"/>
      <c r="Q166" s="228"/>
      <c r="R166" s="228"/>
      <c r="S166" s="228"/>
      <c r="T166" s="228"/>
      <c r="U166" s="449"/>
      <c r="V166" s="449"/>
      <c r="W166" s="449"/>
    </row>
    <row r="167" spans="7:23" x14ac:dyDescent="0.2">
      <c r="G167" s="228"/>
      <c r="H167" s="228"/>
      <c r="I167" s="228"/>
      <c r="J167" s="228"/>
      <c r="K167" s="228"/>
      <c r="L167" s="228"/>
      <c r="M167" s="228"/>
      <c r="N167" s="228"/>
      <c r="O167" s="228"/>
      <c r="P167" s="228"/>
      <c r="Q167" s="228"/>
      <c r="R167" s="228"/>
      <c r="S167" s="228"/>
      <c r="T167" s="228"/>
      <c r="U167" s="449"/>
      <c r="V167" s="449"/>
      <c r="W167" s="449"/>
    </row>
    <row r="168" spans="7:23" x14ac:dyDescent="0.2">
      <c r="G168" s="228"/>
      <c r="H168" s="228"/>
      <c r="I168" s="228"/>
      <c r="J168" s="228"/>
      <c r="K168" s="228"/>
      <c r="L168" s="228"/>
      <c r="M168" s="228"/>
      <c r="N168" s="228"/>
      <c r="O168" s="228"/>
      <c r="P168" s="228"/>
      <c r="Q168" s="228"/>
      <c r="R168" s="228"/>
      <c r="S168" s="228"/>
      <c r="T168" s="228"/>
      <c r="U168" s="449"/>
      <c r="V168" s="449"/>
      <c r="W168" s="449"/>
    </row>
    <row r="169" spans="7:23" x14ac:dyDescent="0.2">
      <c r="G169" s="228"/>
      <c r="H169" s="228"/>
      <c r="I169" s="228"/>
      <c r="J169" s="228"/>
      <c r="K169" s="228"/>
      <c r="L169" s="228"/>
      <c r="M169" s="228"/>
      <c r="N169" s="228"/>
      <c r="O169" s="228"/>
      <c r="P169" s="228"/>
      <c r="Q169" s="228"/>
      <c r="R169" s="228"/>
      <c r="S169" s="228"/>
      <c r="T169" s="228"/>
      <c r="U169" s="449"/>
      <c r="V169" s="449"/>
      <c r="W169" s="449"/>
    </row>
    <row r="170" spans="7:23" x14ac:dyDescent="0.2">
      <c r="G170" s="228"/>
      <c r="H170" s="228"/>
      <c r="I170" s="228"/>
      <c r="J170" s="228"/>
      <c r="K170" s="228"/>
      <c r="L170" s="228"/>
      <c r="M170" s="228"/>
      <c r="N170" s="228"/>
      <c r="O170" s="228"/>
      <c r="P170" s="228"/>
      <c r="Q170" s="228"/>
      <c r="R170" s="228"/>
      <c r="S170" s="228"/>
      <c r="T170" s="228"/>
      <c r="U170" s="449"/>
      <c r="V170" s="449"/>
      <c r="W170" s="449"/>
    </row>
    <row r="171" spans="7:23" x14ac:dyDescent="0.2">
      <c r="G171" s="228"/>
      <c r="H171" s="228"/>
      <c r="I171" s="228"/>
      <c r="J171" s="228"/>
      <c r="K171" s="228"/>
      <c r="L171" s="228"/>
      <c r="M171" s="228"/>
      <c r="N171" s="228"/>
      <c r="O171" s="228"/>
      <c r="P171" s="228"/>
      <c r="Q171" s="228"/>
      <c r="R171" s="228"/>
      <c r="S171" s="228"/>
      <c r="T171" s="228"/>
      <c r="U171" s="449"/>
      <c r="V171" s="449"/>
      <c r="W171" s="449"/>
    </row>
    <row r="172" spans="7:23" x14ac:dyDescent="0.2">
      <c r="G172" s="228"/>
      <c r="H172" s="228"/>
      <c r="I172" s="228"/>
      <c r="J172" s="228"/>
      <c r="K172" s="228"/>
      <c r="L172" s="228"/>
      <c r="M172" s="228"/>
      <c r="N172" s="228"/>
      <c r="O172" s="228"/>
      <c r="P172" s="228"/>
      <c r="Q172" s="228"/>
      <c r="R172" s="228"/>
      <c r="S172" s="228"/>
      <c r="T172" s="228"/>
      <c r="U172" s="449"/>
      <c r="V172" s="449"/>
      <c r="W172" s="449"/>
    </row>
    <row r="173" spans="7:23" x14ac:dyDescent="0.2">
      <c r="G173" s="228"/>
      <c r="H173" s="228"/>
      <c r="I173" s="228"/>
      <c r="J173" s="228"/>
      <c r="K173" s="228"/>
      <c r="L173" s="228"/>
      <c r="M173" s="228"/>
      <c r="N173" s="228"/>
      <c r="O173" s="228"/>
      <c r="P173" s="228"/>
      <c r="Q173" s="228"/>
      <c r="R173" s="228"/>
      <c r="S173" s="228"/>
      <c r="T173" s="228"/>
      <c r="U173" s="449"/>
      <c r="V173" s="449"/>
      <c r="W173" s="449"/>
    </row>
    <row r="174" spans="7:23" x14ac:dyDescent="0.2">
      <c r="G174" s="228"/>
      <c r="H174" s="228"/>
      <c r="I174" s="228"/>
      <c r="J174" s="228"/>
      <c r="K174" s="228"/>
      <c r="L174" s="228"/>
      <c r="M174" s="228"/>
      <c r="N174" s="228"/>
      <c r="O174" s="228"/>
      <c r="P174" s="228"/>
      <c r="Q174" s="228"/>
      <c r="R174" s="228"/>
      <c r="S174" s="228"/>
      <c r="T174" s="228"/>
      <c r="U174" s="449"/>
      <c r="V174" s="449"/>
      <c r="W174" s="449"/>
    </row>
    <row r="175" spans="7:23" x14ac:dyDescent="0.2">
      <c r="G175" s="228"/>
      <c r="H175" s="228"/>
      <c r="I175" s="228"/>
      <c r="J175" s="228"/>
      <c r="K175" s="228"/>
      <c r="L175" s="228"/>
      <c r="M175" s="228"/>
      <c r="N175" s="228"/>
      <c r="O175" s="228"/>
      <c r="P175" s="228"/>
      <c r="Q175" s="228"/>
      <c r="R175" s="228"/>
      <c r="S175" s="228"/>
      <c r="T175" s="228"/>
      <c r="U175" s="449"/>
      <c r="V175" s="449"/>
      <c r="W175" s="449"/>
    </row>
    <row r="176" spans="7:23" x14ac:dyDescent="0.2">
      <c r="G176" s="228"/>
      <c r="H176" s="228"/>
      <c r="I176" s="228"/>
      <c r="J176" s="228"/>
      <c r="K176" s="228"/>
      <c r="L176" s="228"/>
      <c r="M176" s="228"/>
      <c r="N176" s="228"/>
      <c r="O176" s="228"/>
      <c r="P176" s="228"/>
      <c r="Q176" s="228"/>
      <c r="R176" s="228"/>
      <c r="S176" s="228"/>
      <c r="T176" s="228"/>
      <c r="U176" s="449"/>
      <c r="V176" s="449"/>
      <c r="W176" s="449"/>
    </row>
    <row r="177" spans="7:23" x14ac:dyDescent="0.2">
      <c r="G177" s="228"/>
      <c r="H177" s="228"/>
      <c r="I177" s="228"/>
      <c r="J177" s="228"/>
      <c r="K177" s="228"/>
      <c r="L177" s="228"/>
      <c r="M177" s="228"/>
      <c r="N177" s="228"/>
      <c r="O177" s="228"/>
      <c r="P177" s="228"/>
      <c r="Q177" s="228"/>
      <c r="R177" s="228"/>
      <c r="S177" s="228"/>
      <c r="T177" s="228"/>
      <c r="U177" s="449"/>
      <c r="V177" s="449"/>
      <c r="W177" s="449"/>
    </row>
    <row r="178" spans="7:23" x14ac:dyDescent="0.2">
      <c r="G178" s="228"/>
      <c r="H178" s="228"/>
      <c r="I178" s="228"/>
      <c r="J178" s="228"/>
      <c r="K178" s="228"/>
      <c r="L178" s="228"/>
      <c r="M178" s="228"/>
      <c r="N178" s="228"/>
      <c r="O178" s="228"/>
      <c r="P178" s="228"/>
      <c r="Q178" s="228"/>
      <c r="R178" s="228"/>
      <c r="S178" s="228"/>
      <c r="T178" s="228"/>
      <c r="U178" s="449"/>
      <c r="V178" s="449"/>
      <c r="W178" s="449"/>
    </row>
    <row r="179" spans="7:23" x14ac:dyDescent="0.2">
      <c r="G179" s="228"/>
      <c r="H179" s="228"/>
      <c r="I179" s="228"/>
      <c r="J179" s="228"/>
      <c r="K179" s="228"/>
      <c r="L179" s="228"/>
      <c r="M179" s="228"/>
      <c r="N179" s="228"/>
      <c r="O179" s="228"/>
      <c r="P179" s="228"/>
      <c r="Q179" s="228"/>
      <c r="R179" s="228"/>
      <c r="S179" s="228"/>
      <c r="T179" s="228"/>
      <c r="U179" s="449"/>
      <c r="V179" s="449"/>
      <c r="W179" s="449"/>
    </row>
    <row r="180" spans="7:23" x14ac:dyDescent="0.2">
      <c r="G180" s="228"/>
      <c r="H180" s="228"/>
      <c r="I180" s="228"/>
      <c r="J180" s="228"/>
      <c r="K180" s="228"/>
      <c r="L180" s="228"/>
      <c r="M180" s="228"/>
      <c r="N180" s="228"/>
      <c r="O180" s="228"/>
      <c r="P180" s="228"/>
      <c r="Q180" s="228"/>
      <c r="R180" s="228"/>
      <c r="S180" s="228"/>
      <c r="T180" s="228"/>
      <c r="U180" s="449"/>
      <c r="V180" s="449"/>
      <c r="W180" s="449"/>
    </row>
    <row r="181" spans="7:23" x14ac:dyDescent="0.2">
      <c r="G181" s="228"/>
      <c r="H181" s="228"/>
      <c r="I181" s="228"/>
      <c r="J181" s="228"/>
      <c r="K181" s="228"/>
      <c r="L181" s="228"/>
      <c r="M181" s="228"/>
      <c r="N181" s="228"/>
      <c r="O181" s="228"/>
      <c r="P181" s="228"/>
      <c r="Q181" s="228"/>
      <c r="R181" s="228"/>
      <c r="S181" s="228"/>
      <c r="T181" s="228"/>
      <c r="U181" s="449"/>
      <c r="V181" s="449"/>
      <c r="W181" s="449"/>
    </row>
    <row r="182" spans="7:23" x14ac:dyDescent="0.2">
      <c r="G182" s="228"/>
      <c r="H182" s="228"/>
      <c r="I182" s="228"/>
      <c r="J182" s="228"/>
      <c r="K182" s="228"/>
      <c r="L182" s="228"/>
      <c r="M182" s="228"/>
      <c r="N182" s="228"/>
      <c r="O182" s="228"/>
      <c r="P182" s="228"/>
      <c r="Q182" s="228"/>
      <c r="R182" s="228"/>
      <c r="S182" s="228"/>
      <c r="T182" s="228"/>
      <c r="U182" s="449"/>
      <c r="V182" s="449"/>
      <c r="W182" s="449"/>
    </row>
    <row r="183" spans="7:23" x14ac:dyDescent="0.2">
      <c r="G183" s="228"/>
      <c r="H183" s="228"/>
      <c r="I183" s="228"/>
      <c r="J183" s="228"/>
      <c r="K183" s="228"/>
      <c r="L183" s="228"/>
      <c r="M183" s="228"/>
      <c r="N183" s="228"/>
      <c r="O183" s="228"/>
      <c r="P183" s="228"/>
      <c r="Q183" s="228"/>
      <c r="R183" s="228"/>
      <c r="S183" s="228"/>
      <c r="T183" s="228"/>
      <c r="U183" s="449"/>
      <c r="V183" s="449"/>
      <c r="W183" s="449"/>
    </row>
    <row r="184" spans="7:23" x14ac:dyDescent="0.2">
      <c r="G184" s="228"/>
      <c r="H184" s="228"/>
      <c r="I184" s="228"/>
      <c r="J184" s="228"/>
      <c r="K184" s="228"/>
      <c r="L184" s="228"/>
      <c r="M184" s="228"/>
      <c r="N184" s="228"/>
      <c r="O184" s="228"/>
      <c r="P184" s="228"/>
      <c r="Q184" s="228"/>
      <c r="R184" s="228"/>
      <c r="S184" s="228"/>
      <c r="T184" s="228"/>
      <c r="U184" s="449"/>
      <c r="V184" s="449"/>
      <c r="W184" s="449"/>
    </row>
    <row r="185" spans="7:23" x14ac:dyDescent="0.2">
      <c r="G185" s="228"/>
      <c r="H185" s="228"/>
      <c r="I185" s="228"/>
      <c r="J185" s="228"/>
      <c r="K185" s="228"/>
      <c r="L185" s="228"/>
      <c r="M185" s="228"/>
      <c r="N185" s="228"/>
      <c r="O185" s="228"/>
      <c r="P185" s="228"/>
      <c r="Q185" s="228"/>
      <c r="R185" s="228"/>
      <c r="S185" s="228"/>
      <c r="T185" s="228"/>
      <c r="U185" s="449"/>
      <c r="V185" s="449"/>
      <c r="W185" s="449"/>
    </row>
    <row r="186" spans="7:23" x14ac:dyDescent="0.2">
      <c r="G186" s="228"/>
      <c r="H186" s="228"/>
      <c r="I186" s="228"/>
      <c r="J186" s="228"/>
      <c r="K186" s="228"/>
      <c r="L186" s="228"/>
      <c r="M186" s="228"/>
      <c r="N186" s="228"/>
      <c r="O186" s="228"/>
      <c r="P186" s="228"/>
      <c r="Q186" s="228"/>
      <c r="R186" s="228"/>
      <c r="S186" s="228"/>
      <c r="T186" s="228"/>
      <c r="U186" s="449"/>
      <c r="V186" s="449"/>
      <c r="W186" s="449"/>
    </row>
    <row r="187" spans="7:23" x14ac:dyDescent="0.2">
      <c r="G187" s="228"/>
      <c r="H187" s="228"/>
      <c r="I187" s="228"/>
      <c r="J187" s="228"/>
      <c r="K187" s="228"/>
      <c r="L187" s="228"/>
      <c r="M187" s="228"/>
      <c r="N187" s="228"/>
      <c r="O187" s="228"/>
      <c r="P187" s="228"/>
      <c r="Q187" s="228"/>
      <c r="R187" s="228"/>
      <c r="S187" s="228"/>
      <c r="T187" s="228"/>
      <c r="U187" s="449"/>
      <c r="V187" s="449"/>
      <c r="W187" s="449"/>
    </row>
    <row r="188" spans="7:23" x14ac:dyDescent="0.2">
      <c r="G188" s="228"/>
      <c r="H188" s="228"/>
      <c r="I188" s="228"/>
      <c r="J188" s="228"/>
      <c r="K188" s="228"/>
      <c r="L188" s="228"/>
      <c r="M188" s="228"/>
      <c r="N188" s="228"/>
      <c r="O188" s="228"/>
      <c r="P188" s="228"/>
      <c r="Q188" s="228"/>
      <c r="R188" s="228"/>
      <c r="S188" s="228"/>
      <c r="T188" s="228"/>
      <c r="U188" s="449"/>
      <c r="V188" s="449"/>
      <c r="W188" s="449"/>
    </row>
    <row r="189" spans="7:23" x14ac:dyDescent="0.2">
      <c r="G189" s="228"/>
      <c r="H189" s="228"/>
      <c r="I189" s="228"/>
      <c r="J189" s="228"/>
      <c r="K189" s="228"/>
      <c r="L189" s="228"/>
      <c r="M189" s="228"/>
      <c r="N189" s="228"/>
      <c r="O189" s="228"/>
      <c r="P189" s="228"/>
      <c r="Q189" s="228"/>
      <c r="R189" s="228"/>
      <c r="S189" s="228"/>
      <c r="T189" s="228"/>
      <c r="U189" s="449"/>
      <c r="V189" s="449"/>
      <c r="W189" s="449"/>
    </row>
    <row r="190" spans="7:23" x14ac:dyDescent="0.2">
      <c r="G190" s="228"/>
      <c r="H190" s="228"/>
      <c r="I190" s="228"/>
      <c r="J190" s="228"/>
      <c r="K190" s="228"/>
      <c r="L190" s="228"/>
      <c r="M190" s="228"/>
      <c r="N190" s="228"/>
      <c r="O190" s="228"/>
      <c r="P190" s="228"/>
      <c r="Q190" s="228"/>
      <c r="R190" s="228"/>
      <c r="S190" s="228"/>
      <c r="T190" s="228"/>
      <c r="U190" s="449"/>
      <c r="V190" s="449"/>
      <c r="W190" s="449"/>
    </row>
    <row r="191" spans="7:23" x14ac:dyDescent="0.2">
      <c r="G191" s="228"/>
      <c r="H191" s="228"/>
      <c r="I191" s="228"/>
      <c r="J191" s="228"/>
      <c r="K191" s="228"/>
      <c r="L191" s="228"/>
      <c r="M191" s="228"/>
      <c r="N191" s="228"/>
      <c r="O191" s="228"/>
      <c r="P191" s="228"/>
      <c r="Q191" s="228"/>
      <c r="R191" s="228"/>
      <c r="S191" s="228"/>
      <c r="T191" s="228"/>
      <c r="U191" s="449"/>
      <c r="V191" s="449"/>
      <c r="W191" s="449"/>
    </row>
    <row r="192" spans="7:23" x14ac:dyDescent="0.2">
      <c r="G192" s="228"/>
      <c r="H192" s="228"/>
      <c r="I192" s="228"/>
      <c r="J192" s="228"/>
      <c r="K192" s="228"/>
      <c r="L192" s="228"/>
      <c r="M192" s="228"/>
      <c r="N192" s="228"/>
      <c r="O192" s="228"/>
      <c r="P192" s="228"/>
      <c r="Q192" s="228"/>
      <c r="R192" s="228"/>
      <c r="S192" s="228"/>
      <c r="T192" s="228"/>
      <c r="U192" s="449"/>
      <c r="V192" s="449"/>
      <c r="W192" s="449"/>
    </row>
    <row r="193" spans="7:23" x14ac:dyDescent="0.2">
      <c r="G193" s="228"/>
      <c r="H193" s="228"/>
      <c r="I193" s="228"/>
      <c r="J193" s="228"/>
      <c r="K193" s="228"/>
      <c r="L193" s="228"/>
      <c r="M193" s="228"/>
      <c r="N193" s="228"/>
      <c r="O193" s="228"/>
      <c r="P193" s="228"/>
      <c r="Q193" s="228"/>
      <c r="R193" s="228"/>
      <c r="S193" s="228"/>
      <c r="T193" s="228"/>
      <c r="U193" s="449"/>
      <c r="V193" s="449"/>
      <c r="W193" s="449"/>
    </row>
    <row r="194" spans="7:23" x14ac:dyDescent="0.2">
      <c r="G194" s="228"/>
      <c r="H194" s="228"/>
      <c r="I194" s="228"/>
      <c r="J194" s="228"/>
      <c r="K194" s="228"/>
      <c r="L194" s="228"/>
      <c r="M194" s="228"/>
      <c r="N194" s="228"/>
      <c r="O194" s="228"/>
      <c r="P194" s="228"/>
      <c r="Q194" s="228"/>
      <c r="R194" s="228"/>
      <c r="S194" s="228"/>
      <c r="T194" s="228"/>
      <c r="U194" s="449"/>
      <c r="V194" s="449"/>
      <c r="W194" s="449"/>
    </row>
    <row r="195" spans="7:23" x14ac:dyDescent="0.2">
      <c r="G195" s="228"/>
      <c r="H195" s="228"/>
      <c r="I195" s="228"/>
      <c r="J195" s="228"/>
      <c r="K195" s="228"/>
      <c r="L195" s="228"/>
      <c r="M195" s="228"/>
      <c r="N195" s="228"/>
      <c r="O195" s="228"/>
      <c r="P195" s="228"/>
      <c r="Q195" s="228"/>
      <c r="R195" s="228"/>
      <c r="S195" s="228"/>
      <c r="T195" s="228"/>
      <c r="U195" s="449"/>
      <c r="V195" s="449"/>
      <c r="W195" s="449"/>
    </row>
    <row r="196" spans="7:23" x14ac:dyDescent="0.2">
      <c r="G196" s="228"/>
      <c r="H196" s="228"/>
      <c r="I196" s="228"/>
      <c r="J196" s="228"/>
      <c r="K196" s="228"/>
      <c r="L196" s="228"/>
      <c r="M196" s="228"/>
      <c r="N196" s="228"/>
      <c r="O196" s="228"/>
      <c r="P196" s="228"/>
      <c r="Q196" s="228"/>
      <c r="R196" s="228"/>
      <c r="S196" s="228"/>
      <c r="T196" s="228"/>
      <c r="U196" s="449"/>
      <c r="V196" s="449"/>
      <c r="W196" s="449"/>
    </row>
    <row r="197" spans="7:23" x14ac:dyDescent="0.2">
      <c r="G197" s="228"/>
      <c r="H197" s="228"/>
      <c r="I197" s="228"/>
      <c r="J197" s="228"/>
      <c r="K197" s="228"/>
      <c r="L197" s="228"/>
      <c r="M197" s="228"/>
      <c r="N197" s="228"/>
      <c r="O197" s="228"/>
      <c r="P197" s="228"/>
      <c r="Q197" s="228"/>
      <c r="R197" s="228"/>
      <c r="S197" s="228"/>
      <c r="T197" s="228"/>
      <c r="U197" s="449"/>
      <c r="V197" s="449"/>
      <c r="W197" s="449"/>
    </row>
    <row r="198" spans="7:23" x14ac:dyDescent="0.2">
      <c r="G198" s="228"/>
      <c r="H198" s="228"/>
      <c r="I198" s="228"/>
      <c r="J198" s="228"/>
      <c r="K198" s="228"/>
      <c r="L198" s="228"/>
      <c r="M198" s="228"/>
      <c r="N198" s="228"/>
      <c r="O198" s="228"/>
      <c r="P198" s="228"/>
      <c r="Q198" s="228"/>
      <c r="R198" s="228"/>
      <c r="S198" s="228"/>
      <c r="T198" s="228"/>
      <c r="U198" s="449"/>
      <c r="V198" s="449"/>
      <c r="W198" s="449"/>
    </row>
    <row r="199" spans="7:23" x14ac:dyDescent="0.2">
      <c r="G199" s="228"/>
      <c r="H199" s="228"/>
      <c r="I199" s="228"/>
      <c r="J199" s="228"/>
      <c r="K199" s="228"/>
      <c r="L199" s="228"/>
      <c r="M199" s="228"/>
      <c r="N199" s="228"/>
      <c r="O199" s="228"/>
      <c r="P199" s="228"/>
      <c r="Q199" s="228"/>
      <c r="R199" s="228"/>
      <c r="S199" s="228"/>
      <c r="T199" s="228"/>
      <c r="U199" s="449"/>
      <c r="V199" s="449"/>
      <c r="W199" s="449"/>
    </row>
    <row r="200" spans="7:23" x14ac:dyDescent="0.2">
      <c r="G200" s="228"/>
      <c r="H200" s="228"/>
      <c r="I200" s="228"/>
      <c r="J200" s="228"/>
      <c r="K200" s="228"/>
      <c r="L200" s="228"/>
      <c r="M200" s="228"/>
      <c r="N200" s="228"/>
      <c r="O200" s="228"/>
      <c r="P200" s="228"/>
      <c r="Q200" s="228"/>
      <c r="R200" s="228"/>
      <c r="S200" s="228"/>
      <c r="T200" s="228"/>
      <c r="U200" s="449"/>
      <c r="V200" s="449"/>
      <c r="W200" s="449"/>
    </row>
    <row r="201" spans="7:23" x14ac:dyDescent="0.2">
      <c r="G201" s="228"/>
      <c r="H201" s="228"/>
      <c r="I201" s="228"/>
      <c r="J201" s="228"/>
      <c r="K201" s="228"/>
      <c r="L201" s="228"/>
      <c r="M201" s="228"/>
      <c r="N201" s="228"/>
      <c r="O201" s="228"/>
      <c r="P201" s="228"/>
      <c r="Q201" s="228"/>
      <c r="R201" s="228"/>
      <c r="S201" s="228"/>
      <c r="T201" s="228"/>
      <c r="U201" s="449"/>
      <c r="V201" s="449"/>
      <c r="W201" s="449"/>
    </row>
    <row r="202" spans="7:23" x14ac:dyDescent="0.2">
      <c r="G202" s="228"/>
      <c r="H202" s="228"/>
      <c r="I202" s="228"/>
      <c r="J202" s="228"/>
      <c r="K202" s="228"/>
      <c r="L202" s="228"/>
      <c r="M202" s="228"/>
      <c r="N202" s="228"/>
      <c r="O202" s="228"/>
      <c r="P202" s="228"/>
      <c r="Q202" s="228"/>
      <c r="R202" s="228"/>
      <c r="S202" s="228"/>
      <c r="T202" s="228"/>
      <c r="U202" s="449"/>
      <c r="V202" s="449"/>
      <c r="W202" s="449"/>
    </row>
    <row r="203" spans="7:23" x14ac:dyDescent="0.2">
      <c r="G203" s="228"/>
      <c r="H203" s="228"/>
      <c r="I203" s="228"/>
      <c r="J203" s="228"/>
      <c r="K203" s="228"/>
      <c r="L203" s="228"/>
      <c r="M203" s="228"/>
      <c r="N203" s="228"/>
      <c r="O203" s="228"/>
      <c r="P203" s="228"/>
      <c r="Q203" s="228"/>
      <c r="R203" s="228"/>
      <c r="S203" s="228"/>
      <c r="T203" s="228"/>
      <c r="U203" s="449"/>
      <c r="V203" s="449"/>
      <c r="W203" s="449"/>
    </row>
    <row r="204" spans="7:23" x14ac:dyDescent="0.2">
      <c r="G204" s="228"/>
      <c r="H204" s="228"/>
      <c r="I204" s="228"/>
      <c r="J204" s="228"/>
      <c r="K204" s="228"/>
      <c r="L204" s="228"/>
      <c r="M204" s="228"/>
      <c r="N204" s="228"/>
      <c r="O204" s="228"/>
      <c r="P204" s="228"/>
      <c r="Q204" s="228"/>
      <c r="R204" s="228"/>
      <c r="S204" s="228"/>
      <c r="T204" s="228"/>
      <c r="U204" s="449"/>
      <c r="V204" s="449"/>
      <c r="W204" s="449"/>
    </row>
    <row r="205" spans="7:23" x14ac:dyDescent="0.2">
      <c r="G205" s="228"/>
      <c r="H205" s="228"/>
      <c r="I205" s="228"/>
      <c r="J205" s="228"/>
      <c r="K205" s="228"/>
      <c r="L205" s="228"/>
      <c r="M205" s="228"/>
      <c r="N205" s="228"/>
      <c r="O205" s="228"/>
      <c r="P205" s="228"/>
      <c r="Q205" s="228"/>
      <c r="R205" s="228"/>
      <c r="S205" s="228"/>
      <c r="T205" s="228"/>
      <c r="U205" s="449"/>
      <c r="V205" s="449"/>
      <c r="W205" s="449"/>
    </row>
    <row r="206" spans="7:23" x14ac:dyDescent="0.2">
      <c r="G206" s="228"/>
      <c r="H206" s="228"/>
      <c r="I206" s="228"/>
      <c r="J206" s="228"/>
      <c r="K206" s="228"/>
      <c r="L206" s="228"/>
      <c r="M206" s="228"/>
      <c r="N206" s="228"/>
      <c r="O206" s="228"/>
      <c r="P206" s="228"/>
      <c r="Q206" s="228"/>
      <c r="R206" s="228"/>
      <c r="S206" s="228"/>
      <c r="T206" s="228"/>
      <c r="U206" s="449"/>
      <c r="V206" s="449"/>
      <c r="W206" s="449"/>
    </row>
    <row r="207" spans="7:23" x14ac:dyDescent="0.2">
      <c r="G207" s="228"/>
      <c r="H207" s="228"/>
      <c r="I207" s="228"/>
      <c r="J207" s="228"/>
      <c r="K207" s="228"/>
      <c r="L207" s="228"/>
      <c r="M207" s="228"/>
      <c r="N207" s="228"/>
      <c r="O207" s="228"/>
      <c r="P207" s="228"/>
      <c r="Q207" s="228"/>
      <c r="R207" s="228"/>
      <c r="S207" s="228"/>
      <c r="T207" s="228"/>
      <c r="U207" s="449"/>
      <c r="V207" s="449"/>
      <c r="W207" s="449"/>
    </row>
    <row r="208" spans="7:23" x14ac:dyDescent="0.2">
      <c r="G208" s="228"/>
      <c r="H208" s="228"/>
      <c r="I208" s="228"/>
      <c r="J208" s="228"/>
      <c r="K208" s="228"/>
      <c r="L208" s="228"/>
      <c r="M208" s="228"/>
      <c r="N208" s="228"/>
      <c r="O208" s="228"/>
      <c r="P208" s="228"/>
      <c r="Q208" s="228"/>
      <c r="R208" s="228"/>
      <c r="S208" s="228"/>
      <c r="T208" s="228"/>
      <c r="U208" s="449"/>
      <c r="V208" s="449"/>
      <c r="W208" s="449"/>
    </row>
    <row r="209" spans="7:23" x14ac:dyDescent="0.2">
      <c r="G209" s="228"/>
      <c r="H209" s="228"/>
      <c r="I209" s="228"/>
      <c r="J209" s="228"/>
      <c r="K209" s="228"/>
      <c r="L209" s="228"/>
      <c r="M209" s="228"/>
      <c r="N209" s="228"/>
      <c r="O209" s="228"/>
      <c r="P209" s="228"/>
      <c r="Q209" s="228"/>
      <c r="R209" s="228"/>
      <c r="S209" s="228"/>
      <c r="T209" s="228"/>
      <c r="U209" s="449"/>
      <c r="V209" s="449"/>
      <c r="W209" s="449"/>
    </row>
    <row r="210" spans="7:23" x14ac:dyDescent="0.2">
      <c r="G210" s="228"/>
      <c r="H210" s="228"/>
      <c r="I210" s="228"/>
      <c r="J210" s="228"/>
      <c r="K210" s="228"/>
      <c r="L210" s="228"/>
      <c r="M210" s="228"/>
      <c r="N210" s="228"/>
      <c r="O210" s="228"/>
      <c r="P210" s="228"/>
      <c r="Q210" s="228"/>
      <c r="R210" s="228"/>
      <c r="S210" s="228"/>
      <c r="T210" s="228"/>
      <c r="U210" s="449"/>
      <c r="V210" s="449"/>
      <c r="W210" s="449"/>
    </row>
    <row r="211" spans="7:23" x14ac:dyDescent="0.2">
      <c r="G211" s="228"/>
      <c r="H211" s="228"/>
      <c r="I211" s="228"/>
      <c r="J211" s="228"/>
      <c r="K211" s="228"/>
      <c r="L211" s="228"/>
      <c r="M211" s="228"/>
      <c r="N211" s="228"/>
      <c r="O211" s="228"/>
      <c r="P211" s="228"/>
      <c r="Q211" s="228"/>
      <c r="R211" s="228"/>
      <c r="S211" s="228"/>
      <c r="T211" s="228"/>
      <c r="U211" s="449"/>
      <c r="V211" s="449"/>
      <c r="W211" s="449"/>
    </row>
    <row r="212" spans="7:23" x14ac:dyDescent="0.2">
      <c r="G212" s="228"/>
      <c r="H212" s="228"/>
      <c r="I212" s="228"/>
      <c r="J212" s="228"/>
      <c r="K212" s="228"/>
      <c r="L212" s="228"/>
      <c r="M212" s="228"/>
      <c r="N212" s="228"/>
      <c r="O212" s="228"/>
      <c r="P212" s="228"/>
      <c r="Q212" s="228"/>
      <c r="R212" s="228"/>
      <c r="S212" s="228"/>
      <c r="T212" s="228"/>
      <c r="U212" s="449"/>
      <c r="V212" s="449"/>
      <c r="W212" s="449"/>
    </row>
    <row r="213" spans="7:23" x14ac:dyDescent="0.2">
      <c r="G213" s="228"/>
      <c r="H213" s="228"/>
      <c r="I213" s="228"/>
      <c r="J213" s="228"/>
      <c r="K213" s="228"/>
      <c r="L213" s="228"/>
      <c r="M213" s="228"/>
      <c r="N213" s="228"/>
      <c r="O213" s="228"/>
      <c r="P213" s="228"/>
      <c r="Q213" s="228"/>
      <c r="R213" s="228"/>
      <c r="S213" s="228"/>
      <c r="T213" s="228"/>
      <c r="U213" s="449"/>
      <c r="V213" s="449"/>
      <c r="W213" s="449"/>
    </row>
    <row r="214" spans="7:23" x14ac:dyDescent="0.2">
      <c r="G214" s="228"/>
      <c r="H214" s="228"/>
      <c r="I214" s="228"/>
      <c r="J214" s="228"/>
      <c r="K214" s="228"/>
      <c r="L214" s="228"/>
      <c r="M214" s="228"/>
      <c r="N214" s="228"/>
      <c r="O214" s="228"/>
      <c r="P214" s="228"/>
      <c r="Q214" s="228"/>
      <c r="R214" s="228"/>
      <c r="S214" s="228"/>
      <c r="T214" s="228"/>
      <c r="U214" s="449"/>
      <c r="V214" s="449"/>
      <c r="W214" s="449"/>
    </row>
    <row r="215" spans="7:23" x14ac:dyDescent="0.2">
      <c r="G215" s="228"/>
      <c r="H215" s="228"/>
      <c r="I215" s="228"/>
      <c r="J215" s="228"/>
      <c r="K215" s="228"/>
      <c r="L215" s="228"/>
      <c r="M215" s="228"/>
      <c r="N215" s="228"/>
      <c r="O215" s="228"/>
      <c r="P215" s="228"/>
      <c r="Q215" s="228"/>
      <c r="R215" s="228"/>
      <c r="S215" s="228"/>
      <c r="T215" s="228"/>
      <c r="U215" s="449"/>
      <c r="V215" s="449"/>
      <c r="W215" s="449"/>
    </row>
    <row r="216" spans="7:23" x14ac:dyDescent="0.2">
      <c r="G216" s="228"/>
      <c r="H216" s="228"/>
      <c r="I216" s="228"/>
      <c r="J216" s="228"/>
      <c r="K216" s="228"/>
      <c r="L216" s="228"/>
      <c r="M216" s="228"/>
      <c r="N216" s="228"/>
      <c r="O216" s="228"/>
      <c r="P216" s="228"/>
      <c r="Q216" s="228"/>
      <c r="R216" s="228"/>
      <c r="S216" s="228"/>
      <c r="T216" s="228"/>
      <c r="U216" s="449"/>
      <c r="V216" s="449"/>
      <c r="W216" s="449"/>
    </row>
    <row r="217" spans="7:23" x14ac:dyDescent="0.2">
      <c r="G217" s="228"/>
      <c r="H217" s="228"/>
      <c r="I217" s="449"/>
      <c r="J217" s="449"/>
      <c r="K217" s="449"/>
      <c r="L217" s="449"/>
      <c r="M217" s="449"/>
      <c r="N217" s="449"/>
      <c r="O217" s="449"/>
      <c r="P217" s="449"/>
      <c r="Q217" s="449"/>
      <c r="R217" s="449"/>
      <c r="S217" s="449"/>
      <c r="T217" s="449"/>
      <c r="U217" s="449"/>
      <c r="V217" s="449"/>
      <c r="W217" s="449"/>
    </row>
    <row r="218" spans="7:23" x14ac:dyDescent="0.2">
      <c r="G218" s="228"/>
      <c r="H218" s="449"/>
      <c r="I218" s="449"/>
      <c r="J218" s="449"/>
      <c r="K218" s="449"/>
      <c r="L218" s="449"/>
      <c r="M218" s="449"/>
      <c r="N218" s="449"/>
      <c r="O218" s="449"/>
      <c r="P218" s="449"/>
      <c r="Q218" s="449"/>
      <c r="R218" s="449"/>
      <c r="S218" s="449"/>
      <c r="T218" s="449"/>
      <c r="U218" s="449"/>
      <c r="V218" s="449"/>
      <c r="W218" s="449"/>
    </row>
    <row r="219" spans="7:23" x14ac:dyDescent="0.2">
      <c r="G219" s="228"/>
      <c r="H219" s="449"/>
      <c r="I219" s="449"/>
      <c r="J219" s="449"/>
      <c r="K219" s="449"/>
      <c r="L219" s="449"/>
      <c r="M219" s="449"/>
      <c r="N219" s="449"/>
      <c r="O219" s="449"/>
      <c r="P219" s="449"/>
      <c r="Q219" s="449"/>
      <c r="R219" s="449"/>
      <c r="S219" s="449"/>
      <c r="T219" s="449"/>
      <c r="U219" s="449"/>
      <c r="V219" s="449"/>
      <c r="W219" s="449"/>
    </row>
    <row r="220" spans="7:23" x14ac:dyDescent="0.2">
      <c r="G220" s="228"/>
      <c r="H220" s="449"/>
      <c r="I220" s="449"/>
      <c r="J220" s="449"/>
      <c r="K220" s="449"/>
      <c r="L220" s="449"/>
      <c r="M220" s="449"/>
      <c r="N220" s="449"/>
      <c r="O220" s="449"/>
      <c r="P220" s="449"/>
      <c r="Q220" s="449"/>
      <c r="R220" s="449"/>
      <c r="S220" s="449"/>
      <c r="T220" s="449"/>
      <c r="U220" s="449"/>
      <c r="V220" s="449"/>
      <c r="W220" s="449"/>
    </row>
    <row r="221" spans="7:23" x14ac:dyDescent="0.2">
      <c r="G221" s="228"/>
      <c r="H221" s="449"/>
      <c r="I221" s="449"/>
      <c r="J221" s="449"/>
      <c r="K221" s="449"/>
      <c r="L221" s="449"/>
      <c r="M221" s="449"/>
      <c r="N221" s="449"/>
      <c r="O221" s="449"/>
      <c r="P221" s="449"/>
      <c r="Q221" s="449"/>
      <c r="R221" s="449"/>
      <c r="S221" s="449"/>
      <c r="T221" s="449"/>
      <c r="U221" s="449"/>
      <c r="V221" s="449"/>
      <c r="W221" s="449"/>
    </row>
    <row r="222" spans="7:23" x14ac:dyDescent="0.2">
      <c r="G222" s="228"/>
      <c r="H222" s="449"/>
      <c r="I222" s="449"/>
      <c r="J222" s="449"/>
      <c r="K222" s="449"/>
      <c r="L222" s="449"/>
      <c r="M222" s="449"/>
      <c r="N222" s="449"/>
      <c r="O222" s="449"/>
      <c r="P222" s="449"/>
      <c r="Q222" s="449"/>
      <c r="R222" s="449"/>
      <c r="S222" s="449"/>
      <c r="T222" s="449"/>
      <c r="U222" s="449"/>
      <c r="V222" s="449"/>
      <c r="W222" s="449"/>
    </row>
    <row r="223" spans="7:23" x14ac:dyDescent="0.2">
      <c r="G223" s="228"/>
      <c r="H223" s="449"/>
      <c r="I223" s="449"/>
      <c r="J223" s="449"/>
      <c r="K223" s="449"/>
      <c r="L223" s="449"/>
      <c r="M223" s="449"/>
      <c r="N223" s="449"/>
      <c r="O223" s="449"/>
      <c r="P223" s="449"/>
      <c r="Q223" s="449"/>
      <c r="R223" s="449"/>
      <c r="S223" s="449"/>
      <c r="T223" s="449"/>
      <c r="U223" s="449"/>
      <c r="V223" s="449"/>
      <c r="W223" s="449"/>
    </row>
    <row r="224" spans="7:23" x14ac:dyDescent="0.2">
      <c r="G224" s="228"/>
      <c r="H224" s="449"/>
      <c r="I224" s="449"/>
      <c r="J224" s="449"/>
      <c r="K224" s="449"/>
      <c r="L224" s="449"/>
      <c r="M224" s="449"/>
      <c r="N224" s="449"/>
      <c r="O224" s="449"/>
      <c r="P224" s="449"/>
      <c r="Q224" s="449"/>
      <c r="R224" s="449"/>
      <c r="S224" s="449"/>
      <c r="T224" s="449"/>
      <c r="U224" s="449"/>
      <c r="V224" s="449"/>
      <c r="W224" s="449"/>
    </row>
    <row r="225" spans="7:23" x14ac:dyDescent="0.2">
      <c r="G225" s="228"/>
      <c r="H225" s="449"/>
      <c r="I225" s="449"/>
      <c r="J225" s="449"/>
      <c r="K225" s="449"/>
      <c r="L225" s="449"/>
      <c r="M225" s="449"/>
      <c r="N225" s="449"/>
      <c r="O225" s="449"/>
      <c r="P225" s="449"/>
      <c r="Q225" s="449"/>
      <c r="R225" s="449"/>
      <c r="S225" s="449"/>
      <c r="T225" s="449"/>
      <c r="U225" s="449"/>
      <c r="V225" s="449"/>
      <c r="W225" s="449"/>
    </row>
    <row r="226" spans="7:23" x14ac:dyDescent="0.2">
      <c r="G226" s="228"/>
      <c r="H226" s="449"/>
      <c r="I226" s="449"/>
      <c r="J226" s="449"/>
      <c r="K226" s="449"/>
      <c r="L226" s="449"/>
      <c r="M226" s="449"/>
      <c r="N226" s="449"/>
      <c r="O226" s="449"/>
      <c r="P226" s="449"/>
      <c r="Q226" s="449"/>
      <c r="R226" s="449"/>
      <c r="S226" s="449"/>
      <c r="T226" s="449"/>
      <c r="U226" s="449"/>
      <c r="V226" s="449"/>
      <c r="W226" s="449"/>
    </row>
    <row r="227" spans="7:23" x14ac:dyDescent="0.2">
      <c r="G227" s="228"/>
      <c r="H227" s="449"/>
      <c r="I227" s="449"/>
      <c r="J227" s="449"/>
      <c r="K227" s="449"/>
      <c r="L227" s="449"/>
      <c r="M227" s="449"/>
      <c r="N227" s="449"/>
      <c r="O227" s="449"/>
      <c r="P227" s="449"/>
      <c r="Q227" s="449"/>
      <c r="R227" s="449"/>
      <c r="S227" s="449"/>
      <c r="T227" s="449"/>
      <c r="U227" s="449"/>
      <c r="V227" s="449"/>
      <c r="W227" s="449"/>
    </row>
    <row r="228" spans="7:23" x14ac:dyDescent="0.2">
      <c r="G228" s="228"/>
      <c r="H228" s="449"/>
      <c r="I228" s="449"/>
      <c r="J228" s="449"/>
      <c r="K228" s="449"/>
      <c r="L228" s="449"/>
      <c r="M228" s="449"/>
      <c r="N228" s="449"/>
      <c r="O228" s="449"/>
      <c r="P228" s="449"/>
      <c r="Q228" s="449"/>
      <c r="R228" s="449"/>
      <c r="S228" s="449"/>
      <c r="T228" s="449"/>
      <c r="U228" s="449"/>
      <c r="V228" s="449"/>
      <c r="W228" s="449"/>
    </row>
    <row r="229" spans="7:23" x14ac:dyDescent="0.2">
      <c r="G229" s="228"/>
      <c r="H229" s="449"/>
      <c r="I229" s="449"/>
      <c r="J229" s="449"/>
      <c r="K229" s="449"/>
      <c r="L229" s="449"/>
      <c r="M229" s="449"/>
      <c r="N229" s="449"/>
      <c r="O229" s="449"/>
      <c r="P229" s="449"/>
      <c r="Q229" s="449"/>
      <c r="R229" s="449"/>
      <c r="S229" s="449"/>
      <c r="T229" s="449"/>
      <c r="U229" s="449"/>
      <c r="V229" s="449"/>
      <c r="W229" s="449"/>
    </row>
    <row r="230" spans="7:23" x14ac:dyDescent="0.2">
      <c r="G230" s="228"/>
      <c r="H230" s="449"/>
      <c r="I230" s="449"/>
      <c r="J230" s="449"/>
      <c r="K230" s="449"/>
      <c r="L230" s="449"/>
      <c r="M230" s="449"/>
      <c r="N230" s="449"/>
      <c r="O230" s="449"/>
      <c r="P230" s="449"/>
      <c r="Q230" s="449"/>
      <c r="R230" s="449"/>
      <c r="S230" s="449"/>
      <c r="T230" s="449"/>
      <c r="U230" s="449"/>
      <c r="V230" s="449"/>
      <c r="W230" s="449"/>
    </row>
    <row r="231" spans="7:23" x14ac:dyDescent="0.2">
      <c r="G231" s="228"/>
      <c r="H231" s="449"/>
      <c r="I231" s="449"/>
      <c r="J231" s="449"/>
      <c r="K231" s="449"/>
      <c r="L231" s="449"/>
      <c r="M231" s="449"/>
      <c r="N231" s="449"/>
      <c r="O231" s="449"/>
      <c r="P231" s="449"/>
      <c r="Q231" s="449"/>
      <c r="R231" s="449"/>
      <c r="S231" s="449"/>
      <c r="T231" s="449"/>
      <c r="U231" s="449"/>
      <c r="V231" s="449"/>
      <c r="W231" s="449"/>
    </row>
    <row r="232" spans="7:23" x14ac:dyDescent="0.2">
      <c r="G232" s="228"/>
      <c r="H232" s="449"/>
      <c r="I232" s="449"/>
      <c r="J232" s="449"/>
      <c r="K232" s="449"/>
      <c r="L232" s="449"/>
      <c r="M232" s="449"/>
      <c r="N232" s="449"/>
      <c r="O232" s="449"/>
      <c r="P232" s="449"/>
      <c r="Q232" s="449"/>
      <c r="R232" s="449"/>
      <c r="S232" s="449"/>
      <c r="T232" s="449"/>
      <c r="U232" s="449"/>
      <c r="V232" s="449"/>
      <c r="W232" s="449"/>
    </row>
    <row r="233" spans="7:23" x14ac:dyDescent="0.2">
      <c r="G233" s="228"/>
      <c r="H233" s="449"/>
      <c r="I233" s="449"/>
      <c r="J233" s="449"/>
      <c r="K233" s="449"/>
      <c r="L233" s="449"/>
      <c r="M233" s="449"/>
      <c r="N233" s="449"/>
      <c r="O233" s="449"/>
      <c r="P233" s="449"/>
      <c r="Q233" s="449"/>
      <c r="R233" s="449"/>
      <c r="S233" s="449"/>
      <c r="T233" s="449"/>
      <c r="U233" s="449"/>
      <c r="V233" s="449"/>
      <c r="W233" s="449"/>
    </row>
    <row r="234" spans="7:23" x14ac:dyDescent="0.2">
      <c r="G234" s="228"/>
      <c r="H234" s="449"/>
      <c r="I234" s="449"/>
      <c r="J234" s="449"/>
      <c r="K234" s="449"/>
      <c r="L234" s="449"/>
      <c r="M234" s="449"/>
      <c r="N234" s="449"/>
      <c r="O234" s="449"/>
      <c r="P234" s="449"/>
      <c r="Q234" s="449"/>
      <c r="R234" s="449"/>
      <c r="S234" s="449"/>
      <c r="T234" s="449"/>
      <c r="U234" s="449"/>
      <c r="V234" s="449"/>
      <c r="W234" s="449"/>
    </row>
    <row r="235" spans="7:23" x14ac:dyDescent="0.2">
      <c r="G235" s="228"/>
      <c r="H235" s="449"/>
      <c r="I235" s="449"/>
      <c r="J235" s="449"/>
      <c r="K235" s="449"/>
      <c r="L235" s="449"/>
      <c r="M235" s="449"/>
      <c r="N235" s="449"/>
      <c r="O235" s="449"/>
      <c r="P235" s="449"/>
      <c r="Q235" s="449"/>
      <c r="R235" s="449"/>
      <c r="S235" s="449"/>
      <c r="T235" s="449"/>
      <c r="U235" s="449"/>
      <c r="V235" s="449"/>
      <c r="W235" s="449"/>
    </row>
    <row r="236" spans="7:23" x14ac:dyDescent="0.2">
      <c r="G236" s="449"/>
      <c r="H236" s="449"/>
      <c r="I236" s="449"/>
      <c r="J236" s="449"/>
      <c r="K236" s="449"/>
      <c r="L236" s="449"/>
      <c r="M236" s="449"/>
      <c r="N236" s="449"/>
      <c r="O236" s="449"/>
      <c r="P236" s="449"/>
      <c r="Q236" s="449"/>
      <c r="R236" s="449"/>
      <c r="S236" s="449"/>
      <c r="T236" s="449"/>
      <c r="U236" s="449"/>
      <c r="V236" s="449"/>
      <c r="W236" s="449"/>
    </row>
    <row r="237" spans="7:23" x14ac:dyDescent="0.2">
      <c r="G237" s="449"/>
      <c r="H237" s="449"/>
      <c r="I237" s="449"/>
      <c r="J237" s="449"/>
      <c r="K237" s="449"/>
      <c r="L237" s="449"/>
      <c r="M237" s="449"/>
      <c r="N237" s="449"/>
      <c r="O237" s="449"/>
      <c r="P237" s="449"/>
      <c r="Q237" s="449"/>
      <c r="R237" s="449"/>
      <c r="S237" s="449"/>
      <c r="T237" s="449"/>
      <c r="U237" s="449"/>
      <c r="V237" s="449"/>
      <c r="W237" s="449"/>
    </row>
    <row r="238" spans="7:23" x14ac:dyDescent="0.2">
      <c r="G238" s="449"/>
      <c r="H238" s="449"/>
      <c r="I238" s="449"/>
      <c r="J238" s="449"/>
      <c r="K238" s="449"/>
      <c r="L238" s="449"/>
      <c r="M238" s="449"/>
      <c r="N238" s="449"/>
      <c r="O238" s="449"/>
      <c r="P238" s="449"/>
      <c r="Q238" s="449"/>
      <c r="R238" s="449"/>
      <c r="S238" s="449"/>
      <c r="T238" s="449"/>
      <c r="U238" s="449"/>
      <c r="V238" s="449"/>
      <c r="W238" s="449"/>
    </row>
    <row r="239" spans="7:23" x14ac:dyDescent="0.2">
      <c r="G239" s="449"/>
      <c r="H239" s="449"/>
      <c r="I239" s="449"/>
      <c r="J239" s="449"/>
      <c r="K239" s="449"/>
      <c r="L239" s="449"/>
      <c r="M239" s="449"/>
      <c r="N239" s="449"/>
      <c r="O239" s="449"/>
      <c r="P239" s="449"/>
      <c r="Q239" s="449"/>
      <c r="R239" s="449"/>
      <c r="S239" s="449"/>
      <c r="T239" s="449"/>
      <c r="U239" s="449"/>
      <c r="V239" s="449"/>
      <c r="W239" s="449"/>
    </row>
    <row r="240" spans="7:23" x14ac:dyDescent="0.2">
      <c r="G240" s="449"/>
      <c r="H240" s="449"/>
      <c r="I240" s="449"/>
      <c r="J240" s="449"/>
      <c r="K240" s="449"/>
      <c r="L240" s="449"/>
      <c r="M240" s="449"/>
      <c r="N240" s="449"/>
      <c r="O240" s="449"/>
      <c r="P240" s="449"/>
      <c r="Q240" s="449"/>
      <c r="R240" s="449"/>
      <c r="S240" s="449"/>
      <c r="T240" s="449"/>
      <c r="U240" s="449"/>
      <c r="V240" s="449"/>
      <c r="W240" s="449"/>
    </row>
    <row r="241" spans="7:23" x14ac:dyDescent="0.2">
      <c r="G241" s="449"/>
      <c r="H241" s="449"/>
      <c r="I241" s="449"/>
      <c r="J241" s="449"/>
      <c r="K241" s="449"/>
      <c r="L241" s="449"/>
      <c r="M241" s="449"/>
      <c r="N241" s="449"/>
      <c r="O241" s="449"/>
      <c r="P241" s="449"/>
      <c r="Q241" s="449"/>
      <c r="R241" s="449"/>
      <c r="S241" s="449"/>
      <c r="T241" s="449"/>
      <c r="U241" s="449"/>
      <c r="V241" s="449"/>
      <c r="W241" s="449"/>
    </row>
    <row r="242" spans="7:23" x14ac:dyDescent="0.2">
      <c r="G242" s="449"/>
      <c r="H242" s="449"/>
      <c r="I242" s="449"/>
      <c r="J242" s="449"/>
      <c r="K242" s="449"/>
      <c r="L242" s="449"/>
      <c r="M242" s="449"/>
      <c r="N242" s="449"/>
      <c r="O242" s="449"/>
      <c r="P242" s="449"/>
      <c r="Q242" s="449"/>
      <c r="R242" s="449"/>
      <c r="S242" s="449"/>
      <c r="T242" s="449"/>
      <c r="U242" s="449"/>
      <c r="V242" s="449"/>
      <c r="W242" s="449"/>
    </row>
    <row r="243" spans="7:23" x14ac:dyDescent="0.2">
      <c r="G243" s="449"/>
      <c r="H243" s="449"/>
      <c r="I243" s="449"/>
      <c r="J243" s="449"/>
      <c r="K243" s="449"/>
      <c r="L243" s="449"/>
      <c r="M243" s="449"/>
      <c r="N243" s="449"/>
      <c r="O243" s="449"/>
      <c r="P243" s="449"/>
      <c r="Q243" s="449"/>
      <c r="R243" s="449"/>
      <c r="S243" s="449"/>
      <c r="T243" s="449"/>
      <c r="U243" s="449"/>
      <c r="V243" s="449"/>
      <c r="W243" s="449"/>
    </row>
    <row r="244" spans="7:23" x14ac:dyDescent="0.2">
      <c r="G244" s="449"/>
      <c r="H244" s="449"/>
      <c r="I244" s="449"/>
      <c r="J244" s="449"/>
      <c r="K244" s="449"/>
      <c r="L244" s="449"/>
      <c r="M244" s="449"/>
      <c r="N244" s="449"/>
      <c r="O244" s="449"/>
      <c r="P244" s="449"/>
      <c r="Q244" s="449"/>
      <c r="R244" s="449"/>
      <c r="S244" s="449"/>
      <c r="T244" s="449"/>
      <c r="U244" s="449"/>
      <c r="V244" s="449"/>
      <c r="W244" s="449"/>
    </row>
    <row r="245" spans="7:23" x14ac:dyDescent="0.2">
      <c r="G245" s="449"/>
      <c r="H245" s="449"/>
      <c r="I245" s="449"/>
      <c r="J245" s="449"/>
      <c r="K245" s="449"/>
      <c r="L245" s="449"/>
      <c r="M245" s="449"/>
      <c r="N245" s="449"/>
      <c r="O245" s="449"/>
      <c r="P245" s="449"/>
      <c r="Q245" s="449"/>
      <c r="R245" s="449"/>
      <c r="S245" s="449"/>
      <c r="T245" s="449"/>
      <c r="U245" s="449"/>
      <c r="V245" s="449"/>
      <c r="W245" s="449"/>
    </row>
    <row r="246" spans="7:23" x14ac:dyDescent="0.2">
      <c r="G246" s="449"/>
      <c r="H246" s="449"/>
      <c r="I246" s="449"/>
      <c r="J246" s="449"/>
      <c r="K246" s="449"/>
      <c r="L246" s="449"/>
      <c r="M246" s="449"/>
      <c r="N246" s="449"/>
      <c r="O246" s="449"/>
      <c r="P246" s="449"/>
      <c r="Q246" s="449"/>
      <c r="R246" s="449"/>
      <c r="S246" s="449"/>
      <c r="T246" s="449"/>
      <c r="U246" s="449"/>
      <c r="V246" s="449"/>
      <c r="W246" s="449"/>
    </row>
    <row r="247" spans="7:23" x14ac:dyDescent="0.2">
      <c r="G247" s="449"/>
      <c r="H247" s="449"/>
      <c r="I247" s="449"/>
      <c r="J247" s="449"/>
      <c r="K247" s="449"/>
      <c r="L247" s="449"/>
      <c r="M247" s="449"/>
      <c r="N247" s="449"/>
      <c r="O247" s="449"/>
      <c r="P247" s="449"/>
      <c r="Q247" s="449"/>
      <c r="R247" s="449"/>
      <c r="S247" s="449"/>
      <c r="T247" s="449"/>
      <c r="U247" s="449"/>
      <c r="V247" s="449"/>
      <c r="W247" s="449"/>
    </row>
    <row r="248" spans="7:23" x14ac:dyDescent="0.2">
      <c r="G248" s="449"/>
      <c r="H248" s="449"/>
      <c r="I248" s="449"/>
      <c r="J248" s="449"/>
      <c r="K248" s="449"/>
      <c r="L248" s="449"/>
      <c r="M248" s="449"/>
      <c r="N248" s="449"/>
      <c r="O248" s="449"/>
      <c r="P248" s="449"/>
      <c r="Q248" s="449"/>
      <c r="R248" s="449"/>
      <c r="S248" s="449"/>
      <c r="T248" s="449"/>
      <c r="U248" s="449"/>
      <c r="V248" s="449"/>
      <c r="W248" s="449"/>
    </row>
    <row r="249" spans="7:23" x14ac:dyDescent="0.2">
      <c r="G249" s="228"/>
      <c r="H249" s="449"/>
      <c r="I249" s="449"/>
      <c r="J249" s="449"/>
      <c r="K249" s="449"/>
      <c r="L249" s="449"/>
      <c r="M249" s="449"/>
      <c r="N249" s="449"/>
      <c r="O249" s="449"/>
      <c r="P249" s="449"/>
      <c r="Q249" s="449"/>
      <c r="R249" s="449"/>
      <c r="S249" s="449"/>
      <c r="T249" s="449"/>
      <c r="U249" s="449"/>
      <c r="V249" s="449"/>
      <c r="W249" s="449"/>
    </row>
    <row r="250" spans="7:23" x14ac:dyDescent="0.2">
      <c r="G250" s="228"/>
      <c r="H250" s="449"/>
      <c r="I250" s="449"/>
      <c r="J250" s="449"/>
      <c r="K250" s="449"/>
      <c r="L250" s="449"/>
      <c r="M250" s="449"/>
      <c r="N250" s="449"/>
      <c r="O250" s="449"/>
      <c r="P250" s="449"/>
      <c r="Q250" s="449"/>
      <c r="R250" s="449"/>
      <c r="S250" s="449"/>
      <c r="T250" s="449"/>
      <c r="U250" s="449"/>
      <c r="V250" s="449"/>
      <c r="W250" s="449"/>
    </row>
    <row r="251" spans="7:23" x14ac:dyDescent="0.2">
      <c r="G251" s="228"/>
      <c r="H251" s="449"/>
      <c r="I251" s="449"/>
      <c r="J251" s="449"/>
      <c r="K251" s="449"/>
      <c r="L251" s="449"/>
      <c r="M251" s="449"/>
      <c r="N251" s="449"/>
      <c r="O251" s="449"/>
      <c r="P251" s="449"/>
      <c r="Q251" s="449"/>
      <c r="R251" s="449"/>
      <c r="S251" s="449"/>
      <c r="T251" s="449"/>
      <c r="U251" s="449"/>
      <c r="V251" s="449"/>
      <c r="W251" s="449"/>
    </row>
    <row r="252" spans="7:23" x14ac:dyDescent="0.2">
      <c r="G252" s="228"/>
      <c r="H252" s="449"/>
      <c r="I252" s="449"/>
      <c r="J252" s="449"/>
      <c r="K252" s="449"/>
      <c r="L252" s="449"/>
      <c r="M252" s="449"/>
      <c r="N252" s="449"/>
      <c r="O252" s="449"/>
      <c r="P252" s="449"/>
      <c r="Q252" s="449"/>
      <c r="R252" s="449"/>
      <c r="S252" s="449"/>
      <c r="T252" s="449"/>
      <c r="U252" s="449"/>
      <c r="V252" s="449"/>
      <c r="W252" s="449"/>
    </row>
    <row r="253" spans="7:23" x14ac:dyDescent="0.2">
      <c r="G253" s="228"/>
      <c r="H253" s="449"/>
      <c r="I253" s="449"/>
      <c r="J253" s="449"/>
      <c r="K253" s="449"/>
      <c r="L253" s="449"/>
      <c r="M253" s="449"/>
      <c r="N253" s="449"/>
      <c r="O253" s="449"/>
      <c r="P253" s="449"/>
      <c r="Q253" s="449"/>
      <c r="R253" s="449"/>
      <c r="S253" s="449"/>
      <c r="T253" s="449"/>
      <c r="U253" s="449"/>
      <c r="V253" s="449"/>
      <c r="W253" s="449"/>
    </row>
    <row r="254" spans="7:23" x14ac:dyDescent="0.2">
      <c r="G254" s="228"/>
      <c r="H254" s="449"/>
      <c r="I254" s="449"/>
      <c r="J254" s="449"/>
      <c r="K254" s="449"/>
      <c r="L254" s="449"/>
      <c r="M254" s="449"/>
      <c r="N254" s="449"/>
      <c r="O254" s="449"/>
      <c r="P254" s="449"/>
      <c r="Q254" s="449"/>
      <c r="R254" s="449"/>
      <c r="S254" s="449"/>
      <c r="T254" s="449"/>
      <c r="U254" s="449"/>
      <c r="V254" s="449"/>
      <c r="W254" s="449"/>
    </row>
    <row r="255" spans="7:23" x14ac:dyDescent="0.2">
      <c r="G255" s="228"/>
      <c r="H255" s="449"/>
      <c r="I255" s="449"/>
      <c r="J255" s="449"/>
      <c r="K255" s="449"/>
      <c r="L255" s="449"/>
      <c r="M255" s="449"/>
      <c r="N255" s="449"/>
      <c r="O255" s="449"/>
      <c r="P255" s="449"/>
      <c r="Q255" s="449"/>
      <c r="R255" s="449"/>
      <c r="S255" s="449"/>
      <c r="T255" s="449"/>
      <c r="U255" s="449"/>
      <c r="V255" s="449"/>
      <c r="W255" s="449"/>
    </row>
    <row r="256" spans="7:23" x14ac:dyDescent="0.2">
      <c r="G256" s="449"/>
      <c r="H256" s="449"/>
      <c r="I256" s="449"/>
      <c r="J256" s="449"/>
      <c r="K256" s="449"/>
      <c r="L256" s="449"/>
      <c r="M256" s="449"/>
      <c r="N256" s="449"/>
      <c r="O256" s="449"/>
      <c r="P256" s="449"/>
      <c r="Q256" s="449"/>
      <c r="R256" s="449"/>
      <c r="S256" s="449"/>
      <c r="T256" s="449"/>
      <c r="U256" s="449"/>
      <c r="V256" s="449"/>
      <c r="W256" s="449"/>
    </row>
    <row r="257" spans="7:23" x14ac:dyDescent="0.2">
      <c r="G257" s="449"/>
      <c r="H257" s="449"/>
      <c r="I257" s="449"/>
      <c r="J257" s="449"/>
      <c r="K257" s="449"/>
      <c r="L257" s="449"/>
      <c r="M257" s="449"/>
      <c r="N257" s="449"/>
      <c r="O257" s="449"/>
      <c r="P257" s="449"/>
      <c r="Q257" s="449"/>
      <c r="R257" s="449"/>
      <c r="S257" s="449"/>
      <c r="T257" s="449"/>
      <c r="U257" s="449"/>
      <c r="V257" s="449"/>
      <c r="W257" s="449"/>
    </row>
    <row r="258" spans="7:23" x14ac:dyDescent="0.2">
      <c r="G258" s="449"/>
      <c r="H258" s="449"/>
      <c r="I258" s="449"/>
      <c r="J258" s="449"/>
      <c r="K258" s="449"/>
      <c r="L258" s="449"/>
      <c r="M258" s="449"/>
      <c r="N258" s="449"/>
      <c r="O258" s="449"/>
      <c r="P258" s="449"/>
      <c r="Q258" s="449"/>
      <c r="R258" s="449"/>
      <c r="S258" s="449"/>
      <c r="T258" s="449"/>
      <c r="U258" s="449"/>
      <c r="V258" s="449"/>
      <c r="W258" s="449"/>
    </row>
    <row r="259" spans="7:23" x14ac:dyDescent="0.2">
      <c r="G259" s="449"/>
      <c r="H259" s="449"/>
      <c r="I259" s="449"/>
      <c r="J259" s="449"/>
      <c r="K259" s="449"/>
      <c r="L259" s="449"/>
      <c r="M259" s="449"/>
      <c r="N259" s="449"/>
      <c r="O259" s="449"/>
      <c r="P259" s="449"/>
      <c r="Q259" s="449"/>
      <c r="R259" s="449"/>
      <c r="S259" s="449"/>
      <c r="T259" s="449"/>
      <c r="U259" s="449"/>
      <c r="V259" s="449"/>
      <c r="W259" s="449"/>
    </row>
    <row r="260" spans="7:23" x14ac:dyDescent="0.2">
      <c r="G260" s="449"/>
      <c r="H260" s="449"/>
      <c r="I260" s="449"/>
      <c r="J260" s="449"/>
      <c r="K260" s="449"/>
      <c r="L260" s="449"/>
      <c r="M260" s="449"/>
      <c r="N260" s="449"/>
      <c r="O260" s="449"/>
      <c r="P260" s="449"/>
      <c r="Q260" s="449"/>
      <c r="R260" s="449"/>
      <c r="S260" s="449"/>
      <c r="T260" s="449"/>
      <c r="U260" s="449"/>
      <c r="V260" s="449"/>
      <c r="W260" s="449"/>
    </row>
    <row r="261" spans="7:23" x14ac:dyDescent="0.2">
      <c r="G261" s="449"/>
      <c r="H261" s="449"/>
      <c r="I261" s="449"/>
      <c r="J261" s="449"/>
      <c r="K261" s="449"/>
      <c r="L261" s="449"/>
      <c r="M261" s="449"/>
      <c r="N261" s="449"/>
      <c r="O261" s="449"/>
      <c r="P261" s="449"/>
      <c r="Q261" s="449"/>
      <c r="R261" s="449"/>
      <c r="S261" s="449"/>
      <c r="T261" s="449"/>
      <c r="U261" s="449"/>
      <c r="V261" s="449"/>
      <c r="W261" s="449"/>
    </row>
    <row r="262" spans="7:23" x14ac:dyDescent="0.2">
      <c r="G262" s="449"/>
      <c r="H262" s="449"/>
      <c r="I262" s="449"/>
      <c r="J262" s="449"/>
      <c r="K262" s="449"/>
      <c r="L262" s="449"/>
      <c r="M262" s="449"/>
      <c r="N262" s="449"/>
      <c r="O262" s="449"/>
      <c r="P262" s="449"/>
      <c r="Q262" s="449"/>
      <c r="R262" s="449"/>
      <c r="S262" s="449"/>
      <c r="T262" s="449"/>
      <c r="U262" s="449"/>
      <c r="V262" s="449"/>
      <c r="W262" s="449"/>
    </row>
    <row r="263" spans="7:23" x14ac:dyDescent="0.2">
      <c r="G263" s="449"/>
      <c r="H263" s="449"/>
      <c r="I263" s="449"/>
      <c r="J263" s="449"/>
      <c r="K263" s="449"/>
      <c r="L263" s="449"/>
      <c r="M263" s="449"/>
      <c r="N263" s="449"/>
      <c r="O263" s="449"/>
      <c r="P263" s="449"/>
      <c r="Q263" s="449"/>
      <c r="R263" s="449"/>
      <c r="S263" s="449"/>
      <c r="T263" s="449"/>
      <c r="U263" s="449"/>
      <c r="V263" s="449"/>
      <c r="W263" s="449"/>
    </row>
    <row r="264" spans="7:23" x14ac:dyDescent="0.2">
      <c r="G264" s="449"/>
      <c r="H264" s="449"/>
      <c r="I264" s="449"/>
      <c r="J264" s="449"/>
      <c r="K264" s="449"/>
      <c r="L264" s="449"/>
      <c r="M264" s="449"/>
      <c r="N264" s="449"/>
      <c r="O264" s="449"/>
      <c r="P264" s="449"/>
      <c r="Q264" s="449"/>
      <c r="R264" s="449"/>
      <c r="S264" s="449"/>
      <c r="T264" s="449"/>
      <c r="U264" s="449"/>
      <c r="V264" s="449"/>
      <c r="W264" s="449"/>
    </row>
    <row r="265" spans="7:23" x14ac:dyDescent="0.2">
      <c r="G265" s="449"/>
      <c r="H265" s="449"/>
      <c r="I265" s="449"/>
      <c r="J265" s="449"/>
      <c r="K265" s="449"/>
      <c r="L265" s="449"/>
      <c r="M265" s="449"/>
      <c r="N265" s="449"/>
      <c r="O265" s="449"/>
      <c r="P265" s="449"/>
      <c r="Q265" s="449"/>
      <c r="R265" s="449"/>
      <c r="S265" s="449"/>
      <c r="T265" s="449"/>
      <c r="U265" s="449"/>
      <c r="V265" s="449"/>
      <c r="W265" s="449"/>
    </row>
    <row r="266" spans="7:23" x14ac:dyDescent="0.2">
      <c r="G266" s="449"/>
      <c r="H266" s="449"/>
      <c r="I266" s="449"/>
      <c r="J266" s="449"/>
      <c r="K266" s="449"/>
      <c r="L266" s="449"/>
      <c r="M266" s="449"/>
      <c r="N266" s="449"/>
      <c r="O266" s="449"/>
      <c r="P266" s="449"/>
      <c r="Q266" s="449"/>
      <c r="R266" s="449"/>
      <c r="S266" s="449"/>
      <c r="T266" s="449"/>
      <c r="U266" s="449"/>
      <c r="V266" s="449"/>
      <c r="W266" s="449"/>
    </row>
    <row r="267" spans="7:23" x14ac:dyDescent="0.2">
      <c r="G267" s="449"/>
      <c r="H267" s="449"/>
      <c r="I267" s="449"/>
      <c r="J267" s="449"/>
      <c r="K267" s="449"/>
      <c r="L267" s="449"/>
      <c r="M267" s="449"/>
      <c r="N267" s="449"/>
      <c r="O267" s="449"/>
      <c r="P267" s="449"/>
      <c r="Q267" s="449"/>
      <c r="R267" s="449"/>
      <c r="S267" s="449"/>
      <c r="T267" s="449"/>
      <c r="U267" s="449"/>
      <c r="V267" s="449"/>
      <c r="W267" s="449"/>
    </row>
    <row r="268" spans="7:23" x14ac:dyDescent="0.2">
      <c r="G268" s="449"/>
      <c r="H268" s="449"/>
      <c r="I268" s="449"/>
      <c r="J268" s="449"/>
      <c r="K268" s="449"/>
      <c r="L268" s="449"/>
      <c r="M268" s="449"/>
      <c r="N268" s="449"/>
      <c r="O268" s="449"/>
      <c r="P268" s="449"/>
      <c r="Q268" s="449"/>
      <c r="R268" s="449"/>
      <c r="S268" s="449"/>
      <c r="T268" s="449"/>
      <c r="U268" s="449"/>
      <c r="V268" s="449"/>
      <c r="W268" s="449"/>
    </row>
    <row r="269" spans="7:23" x14ac:dyDescent="0.2">
      <c r="G269" s="449"/>
      <c r="H269" s="449"/>
      <c r="I269" s="449"/>
      <c r="J269" s="449"/>
      <c r="K269" s="449"/>
      <c r="L269" s="449"/>
      <c r="M269" s="449"/>
      <c r="N269" s="449"/>
      <c r="O269" s="449"/>
      <c r="P269" s="449"/>
      <c r="Q269" s="449"/>
      <c r="R269" s="449"/>
      <c r="S269" s="449"/>
      <c r="T269" s="449"/>
      <c r="U269" s="449"/>
      <c r="V269" s="449"/>
      <c r="W269" s="449"/>
    </row>
    <row r="270" spans="7:23" x14ac:dyDescent="0.2">
      <c r="G270" s="449"/>
      <c r="H270" s="449"/>
      <c r="I270" s="449"/>
      <c r="J270" s="449"/>
      <c r="K270" s="449"/>
      <c r="L270" s="449"/>
      <c r="M270" s="449"/>
      <c r="N270" s="449"/>
      <c r="O270" s="449"/>
      <c r="P270" s="449"/>
      <c r="Q270" s="449"/>
      <c r="R270" s="449"/>
      <c r="S270" s="449"/>
      <c r="T270" s="449"/>
      <c r="U270" s="449"/>
      <c r="V270" s="449"/>
      <c r="W270" s="449"/>
    </row>
    <row r="271" spans="7:23" x14ac:dyDescent="0.2">
      <c r="G271" s="449"/>
      <c r="H271" s="449"/>
      <c r="I271" s="449"/>
      <c r="J271" s="449"/>
      <c r="K271" s="449"/>
      <c r="L271" s="449"/>
      <c r="M271" s="449"/>
      <c r="N271" s="449"/>
      <c r="O271" s="449"/>
      <c r="P271" s="449"/>
      <c r="Q271" s="449"/>
      <c r="R271" s="449"/>
      <c r="S271" s="449"/>
      <c r="T271" s="449"/>
      <c r="U271" s="449"/>
      <c r="V271" s="449"/>
      <c r="W271" s="449"/>
    </row>
    <row r="272" spans="7:23" x14ac:dyDescent="0.2">
      <c r="G272" s="449"/>
      <c r="H272" s="449"/>
      <c r="I272" s="449"/>
      <c r="J272" s="449"/>
      <c r="K272" s="449"/>
      <c r="L272" s="449"/>
      <c r="M272" s="449"/>
      <c r="N272" s="449"/>
      <c r="O272" s="449"/>
      <c r="P272" s="449"/>
      <c r="Q272" s="449"/>
      <c r="R272" s="449"/>
      <c r="S272" s="449"/>
      <c r="T272" s="449"/>
      <c r="U272" s="449"/>
      <c r="V272" s="449"/>
      <c r="W272" s="449"/>
    </row>
    <row r="273" spans="7:23" x14ac:dyDescent="0.2">
      <c r="G273" s="449"/>
      <c r="H273" s="449"/>
      <c r="I273" s="449"/>
      <c r="J273" s="449"/>
      <c r="K273" s="449"/>
      <c r="L273" s="449"/>
      <c r="M273" s="449"/>
      <c r="N273" s="449"/>
      <c r="O273" s="449"/>
      <c r="P273" s="449"/>
      <c r="Q273" s="449"/>
      <c r="R273" s="449"/>
      <c r="S273" s="449"/>
      <c r="T273" s="449"/>
      <c r="U273" s="449"/>
      <c r="V273" s="449"/>
      <c r="W273" s="449"/>
    </row>
    <row r="274" spans="7:23" x14ac:dyDescent="0.2">
      <c r="G274" s="449"/>
      <c r="H274" s="449"/>
      <c r="I274" s="449"/>
      <c r="J274" s="449"/>
      <c r="K274" s="449"/>
      <c r="L274" s="449"/>
      <c r="M274" s="449"/>
      <c r="N274" s="449"/>
      <c r="O274" s="449"/>
      <c r="P274" s="449"/>
      <c r="Q274" s="449"/>
      <c r="R274" s="449"/>
      <c r="S274" s="449"/>
      <c r="T274" s="449"/>
      <c r="U274" s="449"/>
      <c r="V274" s="449"/>
      <c r="W274" s="449"/>
    </row>
    <row r="275" spans="7:23" x14ac:dyDescent="0.2">
      <c r="G275" s="449"/>
      <c r="H275" s="449"/>
      <c r="I275" s="449"/>
      <c r="J275" s="449"/>
      <c r="K275" s="449"/>
      <c r="L275" s="449"/>
      <c r="M275" s="449"/>
      <c r="N275" s="449"/>
      <c r="O275" s="449"/>
      <c r="P275" s="449"/>
      <c r="Q275" s="449"/>
      <c r="R275" s="449"/>
      <c r="S275" s="449"/>
      <c r="T275" s="449"/>
      <c r="U275" s="449"/>
      <c r="V275" s="449"/>
      <c r="W275" s="449"/>
    </row>
    <row r="276" spans="7:23" x14ac:dyDescent="0.2">
      <c r="G276" s="449"/>
      <c r="H276" s="449"/>
      <c r="I276" s="449"/>
      <c r="J276" s="449"/>
      <c r="K276" s="449"/>
      <c r="L276" s="449"/>
      <c r="M276" s="449"/>
      <c r="N276" s="449"/>
      <c r="O276" s="449"/>
      <c r="P276" s="449"/>
      <c r="Q276" s="449"/>
      <c r="R276" s="449"/>
      <c r="S276" s="449"/>
      <c r="T276" s="449"/>
      <c r="U276" s="449"/>
      <c r="V276" s="449"/>
      <c r="W276" s="449"/>
    </row>
    <row r="277" spans="7:23" x14ac:dyDescent="0.2">
      <c r="G277" s="449"/>
      <c r="H277" s="449"/>
      <c r="I277" s="449"/>
      <c r="J277" s="449"/>
      <c r="K277" s="449"/>
      <c r="L277" s="449"/>
      <c r="M277" s="449"/>
      <c r="N277" s="449"/>
      <c r="O277" s="449"/>
      <c r="P277" s="449"/>
      <c r="Q277" s="449"/>
      <c r="R277" s="449"/>
      <c r="S277" s="449"/>
      <c r="T277" s="449"/>
      <c r="U277" s="449"/>
      <c r="V277" s="449"/>
      <c r="W277" s="449"/>
    </row>
    <row r="278" spans="7:23" x14ac:dyDescent="0.2">
      <c r="G278" s="449"/>
      <c r="H278" s="449"/>
      <c r="I278" s="449"/>
      <c r="J278" s="449"/>
      <c r="K278" s="449"/>
      <c r="L278" s="449"/>
      <c r="M278" s="449"/>
      <c r="N278" s="449"/>
      <c r="O278" s="449"/>
      <c r="P278" s="449"/>
      <c r="Q278" s="449"/>
      <c r="R278" s="449"/>
      <c r="S278" s="449"/>
      <c r="T278" s="449"/>
      <c r="U278" s="449"/>
      <c r="V278" s="449"/>
      <c r="W278" s="449"/>
    </row>
    <row r="279" spans="7:23" x14ac:dyDescent="0.2">
      <c r="G279" s="449"/>
      <c r="H279" s="449"/>
      <c r="I279" s="449"/>
      <c r="J279" s="449"/>
      <c r="K279" s="449"/>
      <c r="L279" s="449"/>
      <c r="M279" s="449"/>
      <c r="N279" s="449"/>
      <c r="O279" s="449"/>
      <c r="P279" s="449"/>
      <c r="Q279" s="449"/>
      <c r="R279" s="449"/>
      <c r="S279" s="449"/>
      <c r="T279" s="449"/>
      <c r="U279" s="449"/>
      <c r="V279" s="449"/>
      <c r="W279" s="449"/>
    </row>
    <row r="280" spans="7:23" x14ac:dyDescent="0.2">
      <c r="G280" s="449"/>
      <c r="H280" s="449"/>
      <c r="I280" s="449"/>
      <c r="J280" s="449"/>
      <c r="K280" s="449"/>
      <c r="L280" s="449"/>
      <c r="M280" s="449"/>
      <c r="N280" s="449"/>
      <c r="O280" s="449"/>
      <c r="P280" s="449"/>
      <c r="Q280" s="449"/>
      <c r="R280" s="449"/>
      <c r="S280" s="449"/>
      <c r="T280" s="449"/>
      <c r="U280" s="449"/>
      <c r="V280" s="449"/>
      <c r="W280" s="449"/>
    </row>
    <row r="281" spans="7:23" x14ac:dyDescent="0.2">
      <c r="G281" s="449"/>
      <c r="H281" s="449"/>
      <c r="I281" s="449"/>
      <c r="J281" s="449"/>
      <c r="K281" s="449"/>
      <c r="L281" s="449"/>
      <c r="M281" s="449"/>
      <c r="N281" s="449"/>
      <c r="O281" s="449"/>
      <c r="P281" s="449"/>
      <c r="Q281" s="449"/>
      <c r="R281" s="449"/>
      <c r="S281" s="449"/>
      <c r="T281" s="449"/>
      <c r="U281" s="449"/>
      <c r="V281" s="449"/>
      <c r="W281" s="449"/>
    </row>
    <row r="282" spans="7:23" x14ac:dyDescent="0.2">
      <c r="G282" s="449"/>
      <c r="H282" s="449"/>
      <c r="I282" s="449"/>
      <c r="J282" s="449"/>
      <c r="K282" s="449"/>
      <c r="L282" s="449"/>
      <c r="M282" s="449"/>
      <c r="N282" s="449"/>
      <c r="O282" s="449"/>
      <c r="P282" s="449"/>
      <c r="Q282" s="449"/>
      <c r="R282" s="449"/>
      <c r="S282" s="449"/>
      <c r="T282" s="449"/>
      <c r="U282" s="449"/>
      <c r="V282" s="449"/>
      <c r="W282" s="449"/>
    </row>
    <row r="283" spans="7:23" x14ac:dyDescent="0.2">
      <c r="G283" s="449"/>
      <c r="H283" s="449"/>
      <c r="I283" s="449"/>
      <c r="J283" s="449"/>
      <c r="K283" s="449"/>
      <c r="L283" s="449"/>
      <c r="M283" s="449"/>
      <c r="N283" s="449"/>
      <c r="O283" s="449"/>
      <c r="P283" s="449"/>
      <c r="Q283" s="449"/>
      <c r="R283" s="449"/>
      <c r="S283" s="449"/>
      <c r="T283" s="449"/>
      <c r="U283" s="449"/>
      <c r="V283" s="449"/>
      <c r="W283" s="449"/>
    </row>
    <row r="284" spans="7:23" x14ac:dyDescent="0.2">
      <c r="G284" s="449"/>
      <c r="H284" s="449"/>
      <c r="I284" s="449"/>
      <c r="J284" s="449"/>
      <c r="K284" s="449"/>
      <c r="L284" s="449"/>
      <c r="M284" s="449"/>
      <c r="N284" s="449"/>
      <c r="O284" s="449"/>
      <c r="P284" s="449"/>
      <c r="Q284" s="449"/>
      <c r="R284" s="449"/>
      <c r="S284" s="449"/>
      <c r="T284" s="449"/>
      <c r="U284" s="449"/>
      <c r="V284" s="449"/>
      <c r="W284" s="449"/>
    </row>
    <row r="285" spans="7:23" x14ac:dyDescent="0.2">
      <c r="G285" s="449"/>
      <c r="H285" s="449"/>
      <c r="I285" s="449"/>
      <c r="J285" s="449"/>
      <c r="K285" s="449"/>
      <c r="L285" s="449"/>
      <c r="M285" s="449"/>
      <c r="N285" s="449"/>
      <c r="O285" s="449"/>
      <c r="P285" s="449"/>
      <c r="Q285" s="449"/>
      <c r="R285" s="449"/>
      <c r="S285" s="449"/>
      <c r="T285" s="449"/>
      <c r="U285" s="449"/>
      <c r="V285" s="449"/>
      <c r="W285" s="449"/>
    </row>
    <row r="286" spans="7:23" x14ac:dyDescent="0.2">
      <c r="G286" s="449"/>
      <c r="H286" s="449"/>
      <c r="I286" s="449"/>
      <c r="J286" s="449"/>
      <c r="K286" s="449"/>
      <c r="L286" s="449"/>
      <c r="M286" s="449"/>
      <c r="N286" s="449"/>
      <c r="O286" s="449"/>
      <c r="P286" s="449"/>
      <c r="Q286" s="449"/>
      <c r="R286" s="449"/>
      <c r="S286" s="449"/>
      <c r="T286" s="449"/>
      <c r="U286" s="449"/>
      <c r="V286" s="449"/>
      <c r="W286" s="449"/>
    </row>
    <row r="287" spans="7:23" x14ac:dyDescent="0.2">
      <c r="G287" s="449"/>
      <c r="H287" s="449"/>
      <c r="I287" s="449"/>
      <c r="J287" s="449"/>
      <c r="K287" s="449"/>
      <c r="L287" s="449"/>
      <c r="M287" s="449"/>
      <c r="N287" s="449"/>
      <c r="O287" s="449"/>
      <c r="P287" s="449"/>
      <c r="Q287" s="449"/>
      <c r="R287" s="449"/>
      <c r="S287" s="449"/>
      <c r="T287" s="449"/>
      <c r="U287" s="449"/>
      <c r="V287" s="449"/>
      <c r="W287" s="449"/>
    </row>
    <row r="288" spans="7:23" x14ac:dyDescent="0.2">
      <c r="G288" s="449"/>
      <c r="H288" s="449"/>
      <c r="I288" s="449"/>
      <c r="J288" s="449"/>
      <c r="K288" s="449"/>
      <c r="L288" s="449"/>
      <c r="M288" s="449"/>
      <c r="N288" s="449"/>
      <c r="O288" s="449"/>
      <c r="P288" s="449"/>
      <c r="Q288" s="449"/>
      <c r="R288" s="449"/>
      <c r="S288" s="449"/>
      <c r="T288" s="449"/>
      <c r="U288" s="449"/>
      <c r="V288" s="449"/>
      <c r="W288" s="449"/>
    </row>
    <row r="289" spans="7:23" x14ac:dyDescent="0.2">
      <c r="G289" s="449"/>
      <c r="H289" s="449"/>
      <c r="I289" s="449"/>
      <c r="J289" s="449"/>
      <c r="K289" s="449"/>
      <c r="L289" s="449"/>
      <c r="M289" s="449"/>
      <c r="N289" s="449"/>
      <c r="O289" s="449"/>
      <c r="P289" s="449"/>
      <c r="Q289" s="449"/>
      <c r="R289" s="449"/>
      <c r="S289" s="449"/>
      <c r="T289" s="449"/>
      <c r="U289" s="449"/>
      <c r="V289" s="449"/>
      <c r="W289" s="449"/>
    </row>
    <row r="290" spans="7:23" x14ac:dyDescent="0.2">
      <c r="G290" s="449"/>
      <c r="H290" s="449"/>
      <c r="I290" s="449"/>
      <c r="J290" s="449"/>
      <c r="K290" s="449"/>
      <c r="L290" s="449"/>
      <c r="M290" s="449"/>
      <c r="N290" s="449"/>
      <c r="O290" s="449"/>
      <c r="P290" s="449"/>
      <c r="Q290" s="449"/>
      <c r="R290" s="449"/>
      <c r="S290" s="449"/>
      <c r="T290" s="449"/>
      <c r="U290" s="449"/>
      <c r="V290" s="449"/>
      <c r="W290" s="449"/>
    </row>
    <row r="291" spans="7:23" x14ac:dyDescent="0.2">
      <c r="G291" s="449"/>
      <c r="H291" s="449"/>
      <c r="I291" s="449"/>
      <c r="J291" s="449"/>
      <c r="K291" s="449"/>
      <c r="L291" s="449"/>
      <c r="M291" s="449"/>
      <c r="N291" s="449"/>
      <c r="O291" s="449"/>
      <c r="P291" s="449"/>
      <c r="Q291" s="449"/>
      <c r="R291" s="449"/>
      <c r="S291" s="449"/>
      <c r="T291" s="449"/>
      <c r="U291" s="449"/>
      <c r="V291" s="449"/>
      <c r="W291" s="449"/>
    </row>
    <row r="292" spans="7:23" x14ac:dyDescent="0.2">
      <c r="G292" s="449"/>
      <c r="H292" s="449"/>
      <c r="I292" s="449"/>
      <c r="J292" s="449"/>
      <c r="K292" s="449"/>
      <c r="L292" s="449"/>
      <c r="M292" s="449"/>
      <c r="N292" s="449"/>
      <c r="O292" s="449"/>
      <c r="P292" s="449"/>
      <c r="Q292" s="449"/>
      <c r="R292" s="449"/>
      <c r="S292" s="449"/>
      <c r="T292" s="449"/>
      <c r="U292" s="449"/>
      <c r="V292" s="449"/>
      <c r="W292" s="449"/>
    </row>
    <row r="293" spans="7:23" x14ac:dyDescent="0.2">
      <c r="G293" s="449"/>
      <c r="H293" s="449"/>
      <c r="I293" s="449"/>
      <c r="J293" s="449"/>
      <c r="K293" s="449"/>
      <c r="L293" s="449"/>
      <c r="M293" s="449"/>
      <c r="N293" s="449"/>
      <c r="O293" s="449"/>
      <c r="P293" s="449"/>
      <c r="Q293" s="449"/>
      <c r="R293" s="449"/>
      <c r="S293" s="449"/>
      <c r="T293" s="449"/>
      <c r="U293" s="449"/>
      <c r="V293" s="449"/>
      <c r="W293" s="449"/>
    </row>
    <row r="294" spans="7:23" x14ac:dyDescent="0.2">
      <c r="G294" s="449"/>
      <c r="H294" s="449"/>
      <c r="I294" s="449"/>
      <c r="J294" s="449"/>
      <c r="K294" s="449"/>
      <c r="L294" s="449"/>
      <c r="M294" s="449"/>
      <c r="N294" s="449"/>
      <c r="O294" s="449"/>
      <c r="P294" s="449"/>
      <c r="Q294" s="449"/>
      <c r="R294" s="449"/>
      <c r="S294" s="449"/>
      <c r="T294" s="449"/>
      <c r="U294" s="449"/>
      <c r="V294" s="449"/>
      <c r="W294" s="449"/>
    </row>
    <row r="295" spans="7:23" x14ac:dyDescent="0.2">
      <c r="G295" s="449"/>
      <c r="H295" s="449"/>
      <c r="I295" s="449"/>
      <c r="J295" s="449"/>
      <c r="K295" s="449"/>
      <c r="L295" s="449"/>
      <c r="M295" s="449"/>
      <c r="N295" s="449"/>
      <c r="O295" s="449"/>
      <c r="P295" s="449"/>
      <c r="Q295" s="449"/>
      <c r="R295" s="449"/>
      <c r="S295" s="449"/>
      <c r="T295" s="449"/>
      <c r="U295" s="449"/>
      <c r="V295" s="449"/>
      <c r="W295" s="449"/>
    </row>
    <row r="296" spans="7:23" x14ac:dyDescent="0.2">
      <c r="G296" s="449"/>
      <c r="H296" s="449"/>
      <c r="I296" s="449"/>
      <c r="J296" s="449"/>
      <c r="K296" s="449"/>
      <c r="L296" s="449"/>
      <c r="M296" s="449"/>
      <c r="N296" s="449"/>
      <c r="O296" s="449"/>
      <c r="P296" s="449"/>
      <c r="Q296" s="449"/>
      <c r="R296" s="449"/>
      <c r="S296" s="449"/>
      <c r="T296" s="449"/>
      <c r="U296" s="449"/>
      <c r="V296" s="449"/>
      <c r="W296" s="449"/>
    </row>
    <row r="297" spans="7:23" x14ac:dyDescent="0.2">
      <c r="G297" s="449"/>
      <c r="H297" s="449"/>
      <c r="I297" s="449"/>
      <c r="J297" s="449"/>
      <c r="K297" s="449"/>
      <c r="L297" s="449"/>
      <c r="M297" s="449"/>
      <c r="N297" s="449"/>
      <c r="O297" s="449"/>
      <c r="P297" s="449"/>
      <c r="Q297" s="449"/>
      <c r="R297" s="449"/>
      <c r="S297" s="449"/>
      <c r="T297" s="449"/>
      <c r="U297" s="449"/>
      <c r="V297" s="449"/>
      <c r="W297" s="449"/>
    </row>
    <row r="298" spans="7:23" x14ac:dyDescent="0.2">
      <c r="G298" s="449"/>
      <c r="H298" s="449"/>
      <c r="I298" s="449"/>
      <c r="J298" s="449"/>
      <c r="K298" s="449"/>
      <c r="L298" s="449"/>
      <c r="M298" s="449"/>
      <c r="N298" s="449"/>
      <c r="O298" s="449"/>
      <c r="P298" s="449"/>
      <c r="Q298" s="449"/>
      <c r="R298" s="449"/>
      <c r="S298" s="449"/>
      <c r="T298" s="449"/>
      <c r="U298" s="449"/>
      <c r="V298" s="449"/>
      <c r="W298" s="449"/>
    </row>
    <row r="299" spans="7:23" x14ac:dyDescent="0.2">
      <c r="G299" s="449"/>
      <c r="H299" s="449"/>
      <c r="I299" s="449"/>
      <c r="J299" s="449"/>
      <c r="K299" s="449"/>
      <c r="L299" s="449"/>
      <c r="M299" s="449"/>
      <c r="N299" s="449"/>
      <c r="O299" s="449"/>
      <c r="P299" s="449"/>
      <c r="Q299" s="449"/>
      <c r="R299" s="449"/>
      <c r="S299" s="449"/>
      <c r="T299" s="449"/>
      <c r="U299" s="449"/>
      <c r="V299" s="449"/>
      <c r="W299" s="449"/>
    </row>
    <row r="300" spans="7:23" x14ac:dyDescent="0.2">
      <c r="G300" s="449"/>
      <c r="H300" s="449"/>
      <c r="I300" s="449"/>
      <c r="J300" s="449"/>
      <c r="K300" s="449"/>
      <c r="L300" s="449"/>
      <c r="M300" s="449"/>
      <c r="N300" s="449"/>
      <c r="O300" s="449"/>
      <c r="P300" s="449"/>
      <c r="Q300" s="449"/>
      <c r="R300" s="449"/>
      <c r="S300" s="449"/>
      <c r="T300" s="449"/>
      <c r="U300" s="449"/>
      <c r="V300" s="449"/>
      <c r="W300" s="449"/>
    </row>
    <row r="301" spans="7:23" x14ac:dyDescent="0.2">
      <c r="G301" s="449"/>
      <c r="H301" s="449"/>
      <c r="I301" s="449"/>
      <c r="J301" s="449"/>
      <c r="K301" s="449"/>
      <c r="L301" s="449"/>
      <c r="M301" s="449"/>
      <c r="N301" s="449"/>
      <c r="O301" s="449"/>
      <c r="P301" s="449"/>
      <c r="Q301" s="449"/>
      <c r="R301" s="449"/>
      <c r="S301" s="449"/>
      <c r="T301" s="449"/>
      <c r="U301" s="449"/>
      <c r="V301" s="449"/>
      <c r="W301" s="449"/>
    </row>
    <row r="302" spans="7:23" x14ac:dyDescent="0.2">
      <c r="G302" s="449"/>
      <c r="H302" s="449"/>
      <c r="I302" s="449"/>
      <c r="J302" s="449"/>
      <c r="K302" s="449"/>
      <c r="L302" s="449"/>
      <c r="M302" s="449"/>
      <c r="N302" s="449"/>
      <c r="O302" s="449"/>
      <c r="P302" s="449"/>
      <c r="Q302" s="449"/>
      <c r="R302" s="449"/>
      <c r="S302" s="449"/>
      <c r="T302" s="449"/>
      <c r="U302" s="449"/>
      <c r="V302" s="449"/>
      <c r="W302" s="449"/>
    </row>
    <row r="303" spans="7:23" x14ac:dyDescent="0.2">
      <c r="G303" s="449"/>
      <c r="H303" s="449"/>
      <c r="I303" s="449"/>
      <c r="J303" s="449"/>
      <c r="K303" s="449"/>
      <c r="L303" s="449"/>
      <c r="M303" s="449"/>
      <c r="N303" s="449"/>
      <c r="O303" s="449"/>
      <c r="P303" s="449"/>
      <c r="Q303" s="449"/>
      <c r="R303" s="449"/>
      <c r="S303" s="449"/>
      <c r="T303" s="449"/>
      <c r="U303" s="449"/>
      <c r="V303" s="449"/>
      <c r="W303" s="449"/>
    </row>
    <row r="304" spans="7:23" x14ac:dyDescent="0.2">
      <c r="G304" s="449"/>
      <c r="H304" s="449"/>
      <c r="I304" s="449"/>
      <c r="J304" s="449"/>
      <c r="K304" s="449"/>
      <c r="L304" s="449"/>
      <c r="M304" s="449"/>
      <c r="N304" s="449"/>
      <c r="O304" s="449"/>
      <c r="P304" s="449"/>
      <c r="Q304" s="449"/>
      <c r="R304" s="449"/>
      <c r="S304" s="449"/>
      <c r="T304" s="449"/>
      <c r="U304" s="449"/>
      <c r="V304" s="449"/>
      <c r="W304" s="449"/>
    </row>
    <row r="305" spans="7:23" x14ac:dyDescent="0.2">
      <c r="G305" s="449"/>
      <c r="H305" s="449"/>
      <c r="I305" s="449"/>
      <c r="J305" s="449"/>
      <c r="K305" s="449"/>
      <c r="L305" s="449"/>
      <c r="M305" s="449"/>
      <c r="N305" s="449"/>
      <c r="O305" s="449"/>
      <c r="P305" s="449"/>
      <c r="Q305" s="449"/>
      <c r="R305" s="449"/>
      <c r="S305" s="449"/>
      <c r="T305" s="449"/>
      <c r="U305" s="449"/>
      <c r="V305" s="449"/>
      <c r="W305" s="449"/>
    </row>
    <row r="306" spans="7:23" x14ac:dyDescent="0.2">
      <c r="G306" s="449"/>
      <c r="H306" s="449"/>
      <c r="I306" s="449"/>
      <c r="J306" s="449"/>
      <c r="K306" s="449"/>
      <c r="L306" s="449"/>
      <c r="M306" s="449"/>
      <c r="N306" s="449"/>
      <c r="O306" s="449"/>
      <c r="P306" s="449"/>
      <c r="Q306" s="449"/>
      <c r="R306" s="449"/>
      <c r="S306" s="449"/>
      <c r="T306" s="449"/>
      <c r="U306" s="449"/>
      <c r="V306" s="449"/>
      <c r="W306" s="449"/>
    </row>
    <row r="307" spans="7:23" x14ac:dyDescent="0.2">
      <c r="G307" s="449"/>
      <c r="H307" s="449"/>
      <c r="I307" s="449"/>
      <c r="J307" s="449"/>
      <c r="K307" s="449"/>
      <c r="L307" s="449"/>
      <c r="M307" s="449"/>
      <c r="N307" s="449"/>
      <c r="O307" s="449"/>
      <c r="P307" s="449"/>
      <c r="Q307" s="449"/>
      <c r="R307" s="449"/>
      <c r="S307" s="449"/>
      <c r="T307" s="449"/>
      <c r="U307" s="449"/>
      <c r="V307" s="449"/>
      <c r="W307" s="449"/>
    </row>
    <row r="308" spans="7:23" x14ac:dyDescent="0.2">
      <c r="G308" s="449"/>
      <c r="H308" s="449"/>
      <c r="I308" s="449"/>
      <c r="J308" s="449"/>
      <c r="K308" s="449"/>
      <c r="L308" s="449"/>
      <c r="M308" s="449"/>
      <c r="N308" s="449"/>
      <c r="O308" s="449"/>
      <c r="P308" s="449"/>
      <c r="Q308" s="449"/>
      <c r="R308" s="449"/>
      <c r="S308" s="449"/>
      <c r="T308" s="449"/>
      <c r="U308" s="449"/>
      <c r="V308" s="449"/>
      <c r="W308" s="449"/>
    </row>
    <row r="309" spans="7:23" x14ac:dyDescent="0.2">
      <c r="G309" s="449"/>
      <c r="H309" s="449"/>
      <c r="I309" s="449"/>
      <c r="J309" s="449"/>
      <c r="K309" s="449"/>
      <c r="L309" s="449"/>
      <c r="M309" s="449"/>
      <c r="N309" s="449"/>
      <c r="O309" s="449"/>
      <c r="P309" s="449"/>
      <c r="Q309" s="449"/>
      <c r="R309" s="449"/>
      <c r="S309" s="449"/>
      <c r="T309" s="449"/>
      <c r="U309" s="449"/>
      <c r="V309" s="449"/>
      <c r="W309" s="449"/>
    </row>
    <row r="310" spans="7:23" x14ac:dyDescent="0.2">
      <c r="G310" s="449"/>
      <c r="H310" s="449"/>
      <c r="I310" s="449"/>
      <c r="J310" s="449"/>
      <c r="K310" s="449"/>
      <c r="L310" s="449"/>
      <c r="M310" s="449"/>
      <c r="N310" s="449"/>
      <c r="O310" s="449"/>
      <c r="P310" s="449"/>
      <c r="Q310" s="449"/>
      <c r="R310" s="449"/>
      <c r="S310" s="449"/>
      <c r="T310" s="449"/>
      <c r="U310" s="449"/>
      <c r="V310" s="449"/>
      <c r="W310" s="449"/>
    </row>
  </sheetData>
  <mergeCells count="1">
    <mergeCell ref="G6:T6"/>
  </mergeCells>
  <pageMargins left="0.7" right="0.7" top="0.75" bottom="0.75" header="0.3" footer="0.3"/>
  <pageSetup paperSize="9" scale="33"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217"/>
  <sheetViews>
    <sheetView tabSelected="1" view="pageBreakPreview" zoomScale="98" zoomScaleNormal="100" zoomScaleSheetLayoutView="98" workbookViewId="0">
      <selection activeCell="M94" sqref="M94"/>
    </sheetView>
  </sheetViews>
  <sheetFormatPr defaultColWidth="8.85546875" defaultRowHeight="12.75" x14ac:dyDescent="0.2"/>
  <cols>
    <col min="1" max="2" width="0.85546875" style="502" customWidth="1"/>
    <col min="3" max="3" width="2.7109375" style="502" customWidth="1"/>
    <col min="4" max="4" width="35.140625" style="502" customWidth="1"/>
    <col min="5" max="5" width="3" style="502" customWidth="1"/>
    <col min="6" max="8" width="15.7109375" style="502" customWidth="1"/>
    <col min="9" max="9" width="15.140625" style="502" customWidth="1"/>
    <col min="10" max="11" width="12.7109375" style="502" customWidth="1"/>
    <col min="12" max="12" width="15.7109375" style="502" customWidth="1"/>
    <col min="13" max="13" width="16.28515625" style="502" customWidth="1"/>
    <col min="14" max="14" width="15.7109375" style="502" customWidth="1"/>
    <col min="15" max="15" width="15.28515625" style="502" customWidth="1"/>
    <col min="16" max="16" width="15" style="502" customWidth="1"/>
    <col min="17" max="17" width="15.7109375" style="502" hidden="1" customWidth="1"/>
    <col min="18" max="18" width="14.42578125" style="502" hidden="1" customWidth="1"/>
    <col min="19" max="19" width="15.7109375" style="502" customWidth="1"/>
    <col min="20" max="20" width="2" style="502" customWidth="1"/>
    <col min="21" max="21" width="1.7109375" style="502" customWidth="1"/>
    <col min="22" max="22" width="19.85546875" style="502" bestFit="1" customWidth="1"/>
    <col min="23" max="23" width="11" style="502" hidden="1" customWidth="1"/>
    <col min="24" max="24" width="12.5703125" style="502" customWidth="1"/>
    <col min="25" max="242" width="8.85546875" style="502"/>
    <col min="243" max="244" width="0.85546875" style="502" customWidth="1"/>
    <col min="245" max="245" width="2.7109375" style="502" customWidth="1"/>
    <col min="246" max="246" width="35.140625" style="502" customWidth="1"/>
    <col min="247" max="247" width="3" style="502" customWidth="1"/>
    <col min="248" max="248" width="15.7109375" style="502" customWidth="1"/>
    <col min="249" max="257" width="0" style="502" hidden="1" customWidth="1"/>
    <col min="258" max="258" width="12.7109375" style="502" customWidth="1"/>
    <col min="259" max="260" width="0" style="502" hidden="1" customWidth="1"/>
    <col min="261" max="262" width="15.7109375" style="502" customWidth="1"/>
    <col min="263" max="271" width="0" style="502" hidden="1" customWidth="1"/>
    <col min="272" max="272" width="15.7109375" style="502" customWidth="1"/>
    <col min="273" max="274" width="0" style="502" hidden="1" customWidth="1"/>
    <col min="275" max="275" width="15.7109375" style="502" customWidth="1"/>
    <col min="276" max="276" width="2" style="502" customWidth="1"/>
    <col min="277" max="277" width="1.7109375" style="502" customWidth="1"/>
    <col min="278" max="278" width="19.85546875" style="502" bestFit="1" customWidth="1"/>
    <col min="279" max="279" width="0" style="502" hidden="1" customWidth="1"/>
    <col min="280" max="280" width="12.5703125" style="502" customWidth="1"/>
    <col min="281" max="498" width="8.85546875" style="502"/>
    <col min="499" max="500" width="0.85546875" style="502" customWidth="1"/>
    <col min="501" max="501" width="2.7109375" style="502" customWidth="1"/>
    <col min="502" max="502" width="35.140625" style="502" customWidth="1"/>
    <col min="503" max="503" width="3" style="502" customWidth="1"/>
    <col min="504" max="504" width="15.7109375" style="502" customWidth="1"/>
    <col min="505" max="513" width="0" style="502" hidden="1" customWidth="1"/>
    <col min="514" max="514" width="12.7109375" style="502" customWidth="1"/>
    <col min="515" max="516" width="0" style="502" hidden="1" customWidth="1"/>
    <col min="517" max="518" width="15.7109375" style="502" customWidth="1"/>
    <col min="519" max="527" width="0" style="502" hidden="1" customWidth="1"/>
    <col min="528" max="528" width="15.7109375" style="502" customWidth="1"/>
    <col min="529" max="530" width="0" style="502" hidden="1" customWidth="1"/>
    <col min="531" max="531" width="15.7109375" style="502" customWidth="1"/>
    <col min="532" max="532" width="2" style="502" customWidth="1"/>
    <col min="533" max="533" width="1.7109375" style="502" customWidth="1"/>
    <col min="534" max="534" width="19.85546875" style="502" bestFit="1" customWidth="1"/>
    <col min="535" max="535" width="0" style="502" hidden="1" customWidth="1"/>
    <col min="536" max="536" width="12.5703125" style="502" customWidth="1"/>
    <col min="537" max="754" width="8.85546875" style="502"/>
    <col min="755" max="756" width="0.85546875" style="502" customWidth="1"/>
    <col min="757" max="757" width="2.7109375" style="502" customWidth="1"/>
    <col min="758" max="758" width="35.140625" style="502" customWidth="1"/>
    <col min="759" max="759" width="3" style="502" customWidth="1"/>
    <col min="760" max="760" width="15.7109375" style="502" customWidth="1"/>
    <col min="761" max="769" width="0" style="502" hidden="1" customWidth="1"/>
    <col min="770" max="770" width="12.7109375" style="502" customWidth="1"/>
    <col min="771" max="772" width="0" style="502" hidden="1" customWidth="1"/>
    <col min="773" max="774" width="15.7109375" style="502" customWidth="1"/>
    <col min="775" max="783" width="0" style="502" hidden="1" customWidth="1"/>
    <col min="784" max="784" width="15.7109375" style="502" customWidth="1"/>
    <col min="785" max="786" width="0" style="502" hidden="1" customWidth="1"/>
    <col min="787" max="787" width="15.7109375" style="502" customWidth="1"/>
    <col min="788" max="788" width="2" style="502" customWidth="1"/>
    <col min="789" max="789" width="1.7109375" style="502" customWidth="1"/>
    <col min="790" max="790" width="19.85546875" style="502" bestFit="1" customWidth="1"/>
    <col min="791" max="791" width="0" style="502" hidden="1" customWidth="1"/>
    <col min="792" max="792" width="12.5703125" style="502" customWidth="1"/>
    <col min="793" max="1010" width="8.85546875" style="502"/>
    <col min="1011" max="1012" width="0.85546875" style="502" customWidth="1"/>
    <col min="1013" max="1013" width="2.7109375" style="502" customWidth="1"/>
    <col min="1014" max="1014" width="35.140625" style="502" customWidth="1"/>
    <col min="1015" max="1015" width="3" style="502" customWidth="1"/>
    <col min="1016" max="1016" width="15.7109375" style="502" customWidth="1"/>
    <col min="1017" max="1025" width="0" style="502" hidden="1" customWidth="1"/>
    <col min="1026" max="1026" width="12.7109375" style="502" customWidth="1"/>
    <col min="1027" max="1028" width="0" style="502" hidden="1" customWidth="1"/>
    <col min="1029" max="1030" width="15.7109375" style="502" customWidth="1"/>
    <col min="1031" max="1039" width="0" style="502" hidden="1" customWidth="1"/>
    <col min="1040" max="1040" width="15.7109375" style="502" customWidth="1"/>
    <col min="1041" max="1042" width="0" style="502" hidden="1" customWidth="1"/>
    <col min="1043" max="1043" width="15.7109375" style="502" customWidth="1"/>
    <col min="1044" max="1044" width="2" style="502" customWidth="1"/>
    <col min="1045" max="1045" width="1.7109375" style="502" customWidth="1"/>
    <col min="1046" max="1046" width="19.85546875" style="502" bestFit="1" customWidth="1"/>
    <col min="1047" max="1047" width="0" style="502" hidden="1" customWidth="1"/>
    <col min="1048" max="1048" width="12.5703125" style="502" customWidth="1"/>
    <col min="1049" max="1266" width="8.85546875" style="502"/>
    <col min="1267" max="1268" width="0.85546875" style="502" customWidth="1"/>
    <col min="1269" max="1269" width="2.7109375" style="502" customWidth="1"/>
    <col min="1270" max="1270" width="35.140625" style="502" customWidth="1"/>
    <col min="1271" max="1271" width="3" style="502" customWidth="1"/>
    <col min="1272" max="1272" width="15.7109375" style="502" customWidth="1"/>
    <col min="1273" max="1281" width="0" style="502" hidden="1" customWidth="1"/>
    <col min="1282" max="1282" width="12.7109375" style="502" customWidth="1"/>
    <col min="1283" max="1284" width="0" style="502" hidden="1" customWidth="1"/>
    <col min="1285" max="1286" width="15.7109375" style="502" customWidth="1"/>
    <col min="1287" max="1295" width="0" style="502" hidden="1" customWidth="1"/>
    <col min="1296" max="1296" width="15.7109375" style="502" customWidth="1"/>
    <col min="1297" max="1298" width="0" style="502" hidden="1" customWidth="1"/>
    <col min="1299" max="1299" width="15.7109375" style="502" customWidth="1"/>
    <col min="1300" max="1300" width="2" style="502" customWidth="1"/>
    <col min="1301" max="1301" width="1.7109375" style="502" customWidth="1"/>
    <col min="1302" max="1302" width="19.85546875" style="502" bestFit="1" customWidth="1"/>
    <col min="1303" max="1303" width="0" style="502" hidden="1" customWidth="1"/>
    <col min="1304" max="1304" width="12.5703125" style="502" customWidth="1"/>
    <col min="1305" max="1522" width="8.85546875" style="502"/>
    <col min="1523" max="1524" width="0.85546875" style="502" customWidth="1"/>
    <col min="1525" max="1525" width="2.7109375" style="502" customWidth="1"/>
    <col min="1526" max="1526" width="35.140625" style="502" customWidth="1"/>
    <col min="1527" max="1527" width="3" style="502" customWidth="1"/>
    <col min="1528" max="1528" width="15.7109375" style="502" customWidth="1"/>
    <col min="1529" max="1537" width="0" style="502" hidden="1" customWidth="1"/>
    <col min="1538" max="1538" width="12.7109375" style="502" customWidth="1"/>
    <col min="1539" max="1540" width="0" style="502" hidden="1" customWidth="1"/>
    <col min="1541" max="1542" width="15.7109375" style="502" customWidth="1"/>
    <col min="1543" max="1551" width="0" style="502" hidden="1" customWidth="1"/>
    <col min="1552" max="1552" width="15.7109375" style="502" customWidth="1"/>
    <col min="1553" max="1554" width="0" style="502" hidden="1" customWidth="1"/>
    <col min="1555" max="1555" width="15.7109375" style="502" customWidth="1"/>
    <col min="1556" max="1556" width="2" style="502" customWidth="1"/>
    <col min="1557" max="1557" width="1.7109375" style="502" customWidth="1"/>
    <col min="1558" max="1558" width="19.85546875" style="502" bestFit="1" customWidth="1"/>
    <col min="1559" max="1559" width="0" style="502" hidden="1" customWidth="1"/>
    <col min="1560" max="1560" width="12.5703125" style="502" customWidth="1"/>
    <col min="1561" max="1778" width="8.85546875" style="502"/>
    <col min="1779" max="1780" width="0.85546875" style="502" customWidth="1"/>
    <col min="1781" max="1781" width="2.7109375" style="502" customWidth="1"/>
    <col min="1782" max="1782" width="35.140625" style="502" customWidth="1"/>
    <col min="1783" max="1783" width="3" style="502" customWidth="1"/>
    <col min="1784" max="1784" width="15.7109375" style="502" customWidth="1"/>
    <col min="1785" max="1793" width="0" style="502" hidden="1" customWidth="1"/>
    <col min="1794" max="1794" width="12.7109375" style="502" customWidth="1"/>
    <col min="1795" max="1796" width="0" style="502" hidden="1" customWidth="1"/>
    <col min="1797" max="1798" width="15.7109375" style="502" customWidth="1"/>
    <col min="1799" max="1807" width="0" style="502" hidden="1" customWidth="1"/>
    <col min="1808" max="1808" width="15.7109375" style="502" customWidth="1"/>
    <col min="1809" max="1810" width="0" style="502" hidden="1" customWidth="1"/>
    <col min="1811" max="1811" width="15.7109375" style="502" customWidth="1"/>
    <col min="1812" max="1812" width="2" style="502" customWidth="1"/>
    <col min="1813" max="1813" width="1.7109375" style="502" customWidth="1"/>
    <col min="1814" max="1814" width="19.85546875" style="502" bestFit="1" customWidth="1"/>
    <col min="1815" max="1815" width="0" style="502" hidden="1" customWidth="1"/>
    <col min="1816" max="1816" width="12.5703125" style="502" customWidth="1"/>
    <col min="1817" max="2034" width="8.85546875" style="502"/>
    <col min="2035" max="2036" width="0.85546875" style="502" customWidth="1"/>
    <col min="2037" max="2037" width="2.7109375" style="502" customWidth="1"/>
    <col min="2038" max="2038" width="35.140625" style="502" customWidth="1"/>
    <col min="2039" max="2039" width="3" style="502" customWidth="1"/>
    <col min="2040" max="2040" width="15.7109375" style="502" customWidth="1"/>
    <col min="2041" max="2049" width="0" style="502" hidden="1" customWidth="1"/>
    <col min="2050" max="2050" width="12.7109375" style="502" customWidth="1"/>
    <col min="2051" max="2052" width="0" style="502" hidden="1" customWidth="1"/>
    <col min="2053" max="2054" width="15.7109375" style="502" customWidth="1"/>
    <col min="2055" max="2063" width="0" style="502" hidden="1" customWidth="1"/>
    <col min="2064" max="2064" width="15.7109375" style="502" customWidth="1"/>
    <col min="2065" max="2066" width="0" style="502" hidden="1" customWidth="1"/>
    <col min="2067" max="2067" width="15.7109375" style="502" customWidth="1"/>
    <col min="2068" max="2068" width="2" style="502" customWidth="1"/>
    <col min="2069" max="2069" width="1.7109375" style="502" customWidth="1"/>
    <col min="2070" max="2070" width="19.85546875" style="502" bestFit="1" customWidth="1"/>
    <col min="2071" max="2071" width="0" style="502" hidden="1" customWidth="1"/>
    <col min="2072" max="2072" width="12.5703125" style="502" customWidth="1"/>
    <col min="2073" max="2290" width="8.85546875" style="502"/>
    <col min="2291" max="2292" width="0.85546875" style="502" customWidth="1"/>
    <col min="2293" max="2293" width="2.7109375" style="502" customWidth="1"/>
    <col min="2294" max="2294" width="35.140625" style="502" customWidth="1"/>
    <col min="2295" max="2295" width="3" style="502" customWidth="1"/>
    <col min="2296" max="2296" width="15.7109375" style="502" customWidth="1"/>
    <col min="2297" max="2305" width="0" style="502" hidden="1" customWidth="1"/>
    <col min="2306" max="2306" width="12.7109375" style="502" customWidth="1"/>
    <col min="2307" max="2308" width="0" style="502" hidden="1" customWidth="1"/>
    <col min="2309" max="2310" width="15.7109375" style="502" customWidth="1"/>
    <col min="2311" max="2319" width="0" style="502" hidden="1" customWidth="1"/>
    <col min="2320" max="2320" width="15.7109375" style="502" customWidth="1"/>
    <col min="2321" max="2322" width="0" style="502" hidden="1" customWidth="1"/>
    <col min="2323" max="2323" width="15.7109375" style="502" customWidth="1"/>
    <col min="2324" max="2324" width="2" style="502" customWidth="1"/>
    <col min="2325" max="2325" width="1.7109375" style="502" customWidth="1"/>
    <col min="2326" max="2326" width="19.85546875" style="502" bestFit="1" customWidth="1"/>
    <col min="2327" max="2327" width="0" style="502" hidden="1" customWidth="1"/>
    <col min="2328" max="2328" width="12.5703125" style="502" customWidth="1"/>
    <col min="2329" max="2546" width="8.85546875" style="502"/>
    <col min="2547" max="2548" width="0.85546875" style="502" customWidth="1"/>
    <col min="2549" max="2549" width="2.7109375" style="502" customWidth="1"/>
    <col min="2550" max="2550" width="35.140625" style="502" customWidth="1"/>
    <col min="2551" max="2551" width="3" style="502" customWidth="1"/>
    <col min="2552" max="2552" width="15.7109375" style="502" customWidth="1"/>
    <col min="2553" max="2561" width="0" style="502" hidden="1" customWidth="1"/>
    <col min="2562" max="2562" width="12.7109375" style="502" customWidth="1"/>
    <col min="2563" max="2564" width="0" style="502" hidden="1" customWidth="1"/>
    <col min="2565" max="2566" width="15.7109375" style="502" customWidth="1"/>
    <col min="2567" max="2575" width="0" style="502" hidden="1" customWidth="1"/>
    <col min="2576" max="2576" width="15.7109375" style="502" customWidth="1"/>
    <col min="2577" max="2578" width="0" style="502" hidden="1" customWidth="1"/>
    <col min="2579" max="2579" width="15.7109375" style="502" customWidth="1"/>
    <col min="2580" max="2580" width="2" style="502" customWidth="1"/>
    <col min="2581" max="2581" width="1.7109375" style="502" customWidth="1"/>
    <col min="2582" max="2582" width="19.85546875" style="502" bestFit="1" customWidth="1"/>
    <col min="2583" max="2583" width="0" style="502" hidden="1" customWidth="1"/>
    <col min="2584" max="2584" width="12.5703125" style="502" customWidth="1"/>
    <col min="2585" max="2802" width="8.85546875" style="502"/>
    <col min="2803" max="2804" width="0.85546875" style="502" customWidth="1"/>
    <col min="2805" max="2805" width="2.7109375" style="502" customWidth="1"/>
    <col min="2806" max="2806" width="35.140625" style="502" customWidth="1"/>
    <col min="2807" max="2807" width="3" style="502" customWidth="1"/>
    <col min="2808" max="2808" width="15.7109375" style="502" customWidth="1"/>
    <col min="2809" max="2817" width="0" style="502" hidden="1" customWidth="1"/>
    <col min="2818" max="2818" width="12.7109375" style="502" customWidth="1"/>
    <col min="2819" max="2820" width="0" style="502" hidden="1" customWidth="1"/>
    <col min="2821" max="2822" width="15.7109375" style="502" customWidth="1"/>
    <col min="2823" max="2831" width="0" style="502" hidden="1" customWidth="1"/>
    <col min="2832" max="2832" width="15.7109375" style="502" customWidth="1"/>
    <col min="2833" max="2834" width="0" style="502" hidden="1" customWidth="1"/>
    <col min="2835" max="2835" width="15.7109375" style="502" customWidth="1"/>
    <col min="2836" max="2836" width="2" style="502" customWidth="1"/>
    <col min="2837" max="2837" width="1.7109375" style="502" customWidth="1"/>
    <col min="2838" max="2838" width="19.85546875" style="502" bestFit="1" customWidth="1"/>
    <col min="2839" max="2839" width="0" style="502" hidden="1" customWidth="1"/>
    <col min="2840" max="2840" width="12.5703125" style="502" customWidth="1"/>
    <col min="2841" max="3058" width="8.85546875" style="502"/>
    <col min="3059" max="3060" width="0.85546875" style="502" customWidth="1"/>
    <col min="3061" max="3061" width="2.7109375" style="502" customWidth="1"/>
    <col min="3062" max="3062" width="35.140625" style="502" customWidth="1"/>
    <col min="3063" max="3063" width="3" style="502" customWidth="1"/>
    <col min="3064" max="3064" width="15.7109375" style="502" customWidth="1"/>
    <col min="3065" max="3073" width="0" style="502" hidden="1" customWidth="1"/>
    <col min="3074" max="3074" width="12.7109375" style="502" customWidth="1"/>
    <col min="3075" max="3076" width="0" style="502" hidden="1" customWidth="1"/>
    <col min="3077" max="3078" width="15.7109375" style="502" customWidth="1"/>
    <col min="3079" max="3087" width="0" style="502" hidden="1" customWidth="1"/>
    <col min="3088" max="3088" width="15.7109375" style="502" customWidth="1"/>
    <col min="3089" max="3090" width="0" style="502" hidden="1" customWidth="1"/>
    <col min="3091" max="3091" width="15.7109375" style="502" customWidth="1"/>
    <col min="3092" max="3092" width="2" style="502" customWidth="1"/>
    <col min="3093" max="3093" width="1.7109375" style="502" customWidth="1"/>
    <col min="3094" max="3094" width="19.85546875" style="502" bestFit="1" customWidth="1"/>
    <col min="3095" max="3095" width="0" style="502" hidden="1" customWidth="1"/>
    <col min="3096" max="3096" width="12.5703125" style="502" customWidth="1"/>
    <col min="3097" max="3314" width="8.85546875" style="502"/>
    <col min="3315" max="3316" width="0.85546875" style="502" customWidth="1"/>
    <col min="3317" max="3317" width="2.7109375" style="502" customWidth="1"/>
    <col min="3318" max="3318" width="35.140625" style="502" customWidth="1"/>
    <col min="3319" max="3319" width="3" style="502" customWidth="1"/>
    <col min="3320" max="3320" width="15.7109375" style="502" customWidth="1"/>
    <col min="3321" max="3329" width="0" style="502" hidden="1" customWidth="1"/>
    <col min="3330" max="3330" width="12.7109375" style="502" customWidth="1"/>
    <col min="3331" max="3332" width="0" style="502" hidden="1" customWidth="1"/>
    <col min="3333" max="3334" width="15.7109375" style="502" customWidth="1"/>
    <col min="3335" max="3343" width="0" style="502" hidden="1" customWidth="1"/>
    <col min="3344" max="3344" width="15.7109375" style="502" customWidth="1"/>
    <col min="3345" max="3346" width="0" style="502" hidden="1" customWidth="1"/>
    <col min="3347" max="3347" width="15.7109375" style="502" customWidth="1"/>
    <col min="3348" max="3348" width="2" style="502" customWidth="1"/>
    <col min="3349" max="3349" width="1.7109375" style="502" customWidth="1"/>
    <col min="3350" max="3350" width="19.85546875" style="502" bestFit="1" customWidth="1"/>
    <col min="3351" max="3351" width="0" style="502" hidden="1" customWidth="1"/>
    <col min="3352" max="3352" width="12.5703125" style="502" customWidth="1"/>
    <col min="3353" max="3570" width="8.85546875" style="502"/>
    <col min="3571" max="3572" width="0.85546875" style="502" customWidth="1"/>
    <col min="3573" max="3573" width="2.7109375" style="502" customWidth="1"/>
    <col min="3574" max="3574" width="35.140625" style="502" customWidth="1"/>
    <col min="3575" max="3575" width="3" style="502" customWidth="1"/>
    <col min="3576" max="3576" width="15.7109375" style="502" customWidth="1"/>
    <col min="3577" max="3585" width="0" style="502" hidden="1" customWidth="1"/>
    <col min="3586" max="3586" width="12.7109375" style="502" customWidth="1"/>
    <col min="3587" max="3588" width="0" style="502" hidden="1" customWidth="1"/>
    <col min="3589" max="3590" width="15.7109375" style="502" customWidth="1"/>
    <col min="3591" max="3599" width="0" style="502" hidden="1" customWidth="1"/>
    <col min="3600" max="3600" width="15.7109375" style="502" customWidth="1"/>
    <col min="3601" max="3602" width="0" style="502" hidden="1" customWidth="1"/>
    <col min="3603" max="3603" width="15.7109375" style="502" customWidth="1"/>
    <col min="3604" max="3604" width="2" style="502" customWidth="1"/>
    <col min="3605" max="3605" width="1.7109375" style="502" customWidth="1"/>
    <col min="3606" max="3606" width="19.85546875" style="502" bestFit="1" customWidth="1"/>
    <col min="3607" max="3607" width="0" style="502" hidden="1" customWidth="1"/>
    <col min="3608" max="3608" width="12.5703125" style="502" customWidth="1"/>
    <col min="3609" max="3826" width="8.85546875" style="502"/>
    <col min="3827" max="3828" width="0.85546875" style="502" customWidth="1"/>
    <col min="3829" max="3829" width="2.7109375" style="502" customWidth="1"/>
    <col min="3830" max="3830" width="35.140625" style="502" customWidth="1"/>
    <col min="3831" max="3831" width="3" style="502" customWidth="1"/>
    <col min="3832" max="3832" width="15.7109375" style="502" customWidth="1"/>
    <col min="3833" max="3841" width="0" style="502" hidden="1" customWidth="1"/>
    <col min="3842" max="3842" width="12.7109375" style="502" customWidth="1"/>
    <col min="3843" max="3844" width="0" style="502" hidden="1" customWidth="1"/>
    <col min="3845" max="3846" width="15.7109375" style="502" customWidth="1"/>
    <col min="3847" max="3855" width="0" style="502" hidden="1" customWidth="1"/>
    <col min="3856" max="3856" width="15.7109375" style="502" customWidth="1"/>
    <col min="3857" max="3858" width="0" style="502" hidden="1" customWidth="1"/>
    <col min="3859" max="3859" width="15.7109375" style="502" customWidth="1"/>
    <col min="3860" max="3860" width="2" style="502" customWidth="1"/>
    <col min="3861" max="3861" width="1.7109375" style="502" customWidth="1"/>
    <col min="3862" max="3862" width="19.85546875" style="502" bestFit="1" customWidth="1"/>
    <col min="3863" max="3863" width="0" style="502" hidden="1" customWidth="1"/>
    <col min="3864" max="3864" width="12.5703125" style="502" customWidth="1"/>
    <col min="3865" max="4082" width="8.85546875" style="502"/>
    <col min="4083" max="4084" width="0.85546875" style="502" customWidth="1"/>
    <col min="4085" max="4085" width="2.7109375" style="502" customWidth="1"/>
    <col min="4086" max="4086" width="35.140625" style="502" customWidth="1"/>
    <col min="4087" max="4087" width="3" style="502" customWidth="1"/>
    <col min="4088" max="4088" width="15.7109375" style="502" customWidth="1"/>
    <col min="4089" max="4097" width="0" style="502" hidden="1" customWidth="1"/>
    <col min="4098" max="4098" width="12.7109375" style="502" customWidth="1"/>
    <col min="4099" max="4100" width="0" style="502" hidden="1" customWidth="1"/>
    <col min="4101" max="4102" width="15.7109375" style="502" customWidth="1"/>
    <col min="4103" max="4111" width="0" style="502" hidden="1" customWidth="1"/>
    <col min="4112" max="4112" width="15.7109375" style="502" customWidth="1"/>
    <col min="4113" max="4114" width="0" style="502" hidden="1" customWidth="1"/>
    <col min="4115" max="4115" width="15.7109375" style="502" customWidth="1"/>
    <col min="4116" max="4116" width="2" style="502" customWidth="1"/>
    <col min="4117" max="4117" width="1.7109375" style="502" customWidth="1"/>
    <col min="4118" max="4118" width="19.85546875" style="502" bestFit="1" customWidth="1"/>
    <col min="4119" max="4119" width="0" style="502" hidden="1" customWidth="1"/>
    <col min="4120" max="4120" width="12.5703125" style="502" customWidth="1"/>
    <col min="4121" max="4338" width="8.85546875" style="502"/>
    <col min="4339" max="4340" width="0.85546875" style="502" customWidth="1"/>
    <col min="4341" max="4341" width="2.7109375" style="502" customWidth="1"/>
    <col min="4342" max="4342" width="35.140625" style="502" customWidth="1"/>
    <col min="4343" max="4343" width="3" style="502" customWidth="1"/>
    <col min="4344" max="4344" width="15.7109375" style="502" customWidth="1"/>
    <col min="4345" max="4353" width="0" style="502" hidden="1" customWidth="1"/>
    <col min="4354" max="4354" width="12.7109375" style="502" customWidth="1"/>
    <col min="4355" max="4356" width="0" style="502" hidden="1" customWidth="1"/>
    <col min="4357" max="4358" width="15.7109375" style="502" customWidth="1"/>
    <col min="4359" max="4367" width="0" style="502" hidden="1" customWidth="1"/>
    <col min="4368" max="4368" width="15.7109375" style="502" customWidth="1"/>
    <col min="4369" max="4370" width="0" style="502" hidden="1" customWidth="1"/>
    <col min="4371" max="4371" width="15.7109375" style="502" customWidth="1"/>
    <col min="4372" max="4372" width="2" style="502" customWidth="1"/>
    <col min="4373" max="4373" width="1.7109375" style="502" customWidth="1"/>
    <col min="4374" max="4374" width="19.85546875" style="502" bestFit="1" customWidth="1"/>
    <col min="4375" max="4375" width="0" style="502" hidden="1" customWidth="1"/>
    <col min="4376" max="4376" width="12.5703125" style="502" customWidth="1"/>
    <col min="4377" max="4594" width="8.85546875" style="502"/>
    <col min="4595" max="4596" width="0.85546875" style="502" customWidth="1"/>
    <col min="4597" max="4597" width="2.7109375" style="502" customWidth="1"/>
    <col min="4598" max="4598" width="35.140625" style="502" customWidth="1"/>
    <col min="4599" max="4599" width="3" style="502" customWidth="1"/>
    <col min="4600" max="4600" width="15.7109375" style="502" customWidth="1"/>
    <col min="4601" max="4609" width="0" style="502" hidden="1" customWidth="1"/>
    <col min="4610" max="4610" width="12.7109375" style="502" customWidth="1"/>
    <col min="4611" max="4612" width="0" style="502" hidden="1" customWidth="1"/>
    <col min="4613" max="4614" width="15.7109375" style="502" customWidth="1"/>
    <col min="4615" max="4623" width="0" style="502" hidden="1" customWidth="1"/>
    <col min="4624" max="4624" width="15.7109375" style="502" customWidth="1"/>
    <col min="4625" max="4626" width="0" style="502" hidden="1" customWidth="1"/>
    <col min="4627" max="4627" width="15.7109375" style="502" customWidth="1"/>
    <col min="4628" max="4628" width="2" style="502" customWidth="1"/>
    <col min="4629" max="4629" width="1.7109375" style="502" customWidth="1"/>
    <col min="4630" max="4630" width="19.85546875" style="502" bestFit="1" customWidth="1"/>
    <col min="4631" max="4631" width="0" style="502" hidden="1" customWidth="1"/>
    <col min="4632" max="4632" width="12.5703125" style="502" customWidth="1"/>
    <col min="4633" max="4850" width="8.85546875" style="502"/>
    <col min="4851" max="4852" width="0.85546875" style="502" customWidth="1"/>
    <col min="4853" max="4853" width="2.7109375" style="502" customWidth="1"/>
    <col min="4854" max="4854" width="35.140625" style="502" customWidth="1"/>
    <col min="4855" max="4855" width="3" style="502" customWidth="1"/>
    <col min="4856" max="4856" width="15.7109375" style="502" customWidth="1"/>
    <col min="4857" max="4865" width="0" style="502" hidden="1" customWidth="1"/>
    <col min="4866" max="4866" width="12.7109375" style="502" customWidth="1"/>
    <col min="4867" max="4868" width="0" style="502" hidden="1" customWidth="1"/>
    <col min="4869" max="4870" width="15.7109375" style="502" customWidth="1"/>
    <col min="4871" max="4879" width="0" style="502" hidden="1" customWidth="1"/>
    <col min="4880" max="4880" width="15.7109375" style="502" customWidth="1"/>
    <col min="4881" max="4882" width="0" style="502" hidden="1" customWidth="1"/>
    <col min="4883" max="4883" width="15.7109375" style="502" customWidth="1"/>
    <col min="4884" max="4884" width="2" style="502" customWidth="1"/>
    <col min="4885" max="4885" width="1.7109375" style="502" customWidth="1"/>
    <col min="4886" max="4886" width="19.85546875" style="502" bestFit="1" customWidth="1"/>
    <col min="4887" max="4887" width="0" style="502" hidden="1" customWidth="1"/>
    <col min="4888" max="4888" width="12.5703125" style="502" customWidth="1"/>
    <col min="4889" max="5106" width="8.85546875" style="502"/>
    <col min="5107" max="5108" width="0.85546875" style="502" customWidth="1"/>
    <col min="5109" max="5109" width="2.7109375" style="502" customWidth="1"/>
    <col min="5110" max="5110" width="35.140625" style="502" customWidth="1"/>
    <col min="5111" max="5111" width="3" style="502" customWidth="1"/>
    <col min="5112" max="5112" width="15.7109375" style="502" customWidth="1"/>
    <col min="5113" max="5121" width="0" style="502" hidden="1" customWidth="1"/>
    <col min="5122" max="5122" width="12.7109375" style="502" customWidth="1"/>
    <col min="5123" max="5124" width="0" style="502" hidden="1" customWidth="1"/>
    <col min="5125" max="5126" width="15.7109375" style="502" customWidth="1"/>
    <col min="5127" max="5135" width="0" style="502" hidden="1" customWidth="1"/>
    <col min="5136" max="5136" width="15.7109375" style="502" customWidth="1"/>
    <col min="5137" max="5138" width="0" style="502" hidden="1" customWidth="1"/>
    <col min="5139" max="5139" width="15.7109375" style="502" customWidth="1"/>
    <col min="5140" max="5140" width="2" style="502" customWidth="1"/>
    <col min="5141" max="5141" width="1.7109375" style="502" customWidth="1"/>
    <col min="5142" max="5142" width="19.85546875" style="502" bestFit="1" customWidth="1"/>
    <col min="5143" max="5143" width="0" style="502" hidden="1" customWidth="1"/>
    <col min="5144" max="5144" width="12.5703125" style="502" customWidth="1"/>
    <col min="5145" max="5362" width="8.85546875" style="502"/>
    <col min="5363" max="5364" width="0.85546875" style="502" customWidth="1"/>
    <col min="5365" max="5365" width="2.7109375" style="502" customWidth="1"/>
    <col min="5366" max="5366" width="35.140625" style="502" customWidth="1"/>
    <col min="5367" max="5367" width="3" style="502" customWidth="1"/>
    <col min="5368" max="5368" width="15.7109375" style="502" customWidth="1"/>
    <col min="5369" max="5377" width="0" style="502" hidden="1" customWidth="1"/>
    <col min="5378" max="5378" width="12.7109375" style="502" customWidth="1"/>
    <col min="5379" max="5380" width="0" style="502" hidden="1" customWidth="1"/>
    <col min="5381" max="5382" width="15.7109375" style="502" customWidth="1"/>
    <col min="5383" max="5391" width="0" style="502" hidden="1" customWidth="1"/>
    <col min="5392" max="5392" width="15.7109375" style="502" customWidth="1"/>
    <col min="5393" max="5394" width="0" style="502" hidden="1" customWidth="1"/>
    <col min="5395" max="5395" width="15.7109375" style="502" customWidth="1"/>
    <col min="5396" max="5396" width="2" style="502" customWidth="1"/>
    <col min="5397" max="5397" width="1.7109375" style="502" customWidth="1"/>
    <col min="5398" max="5398" width="19.85546875" style="502" bestFit="1" customWidth="1"/>
    <col min="5399" max="5399" width="0" style="502" hidden="1" customWidth="1"/>
    <col min="5400" max="5400" width="12.5703125" style="502" customWidth="1"/>
    <col min="5401" max="5618" width="8.85546875" style="502"/>
    <col min="5619" max="5620" width="0.85546875" style="502" customWidth="1"/>
    <col min="5621" max="5621" width="2.7109375" style="502" customWidth="1"/>
    <col min="5622" max="5622" width="35.140625" style="502" customWidth="1"/>
    <col min="5623" max="5623" width="3" style="502" customWidth="1"/>
    <col min="5624" max="5624" width="15.7109375" style="502" customWidth="1"/>
    <col min="5625" max="5633" width="0" style="502" hidden="1" customWidth="1"/>
    <col min="5634" max="5634" width="12.7109375" style="502" customWidth="1"/>
    <col min="5635" max="5636" width="0" style="502" hidden="1" customWidth="1"/>
    <col min="5637" max="5638" width="15.7109375" style="502" customWidth="1"/>
    <col min="5639" max="5647" width="0" style="502" hidden="1" customWidth="1"/>
    <col min="5648" max="5648" width="15.7109375" style="502" customWidth="1"/>
    <col min="5649" max="5650" width="0" style="502" hidden="1" customWidth="1"/>
    <col min="5651" max="5651" width="15.7109375" style="502" customWidth="1"/>
    <col min="5652" max="5652" width="2" style="502" customWidth="1"/>
    <col min="5653" max="5653" width="1.7109375" style="502" customWidth="1"/>
    <col min="5654" max="5654" width="19.85546875" style="502" bestFit="1" customWidth="1"/>
    <col min="5655" max="5655" width="0" style="502" hidden="1" customWidth="1"/>
    <col min="5656" max="5656" width="12.5703125" style="502" customWidth="1"/>
    <col min="5657" max="5874" width="8.85546875" style="502"/>
    <col min="5875" max="5876" width="0.85546875" style="502" customWidth="1"/>
    <col min="5877" max="5877" width="2.7109375" style="502" customWidth="1"/>
    <col min="5878" max="5878" width="35.140625" style="502" customWidth="1"/>
    <col min="5879" max="5879" width="3" style="502" customWidth="1"/>
    <col min="5880" max="5880" width="15.7109375" style="502" customWidth="1"/>
    <col min="5881" max="5889" width="0" style="502" hidden="1" customWidth="1"/>
    <col min="5890" max="5890" width="12.7109375" style="502" customWidth="1"/>
    <col min="5891" max="5892" width="0" style="502" hidden="1" customWidth="1"/>
    <col min="5893" max="5894" width="15.7109375" style="502" customWidth="1"/>
    <col min="5895" max="5903" width="0" style="502" hidden="1" customWidth="1"/>
    <col min="5904" max="5904" width="15.7109375" style="502" customWidth="1"/>
    <col min="5905" max="5906" width="0" style="502" hidden="1" customWidth="1"/>
    <col min="5907" max="5907" width="15.7109375" style="502" customWidth="1"/>
    <col min="5908" max="5908" width="2" style="502" customWidth="1"/>
    <col min="5909" max="5909" width="1.7109375" style="502" customWidth="1"/>
    <col min="5910" max="5910" width="19.85546875" style="502" bestFit="1" customWidth="1"/>
    <col min="5911" max="5911" width="0" style="502" hidden="1" customWidth="1"/>
    <col min="5912" max="5912" width="12.5703125" style="502" customWidth="1"/>
    <col min="5913" max="6130" width="8.85546875" style="502"/>
    <col min="6131" max="6132" width="0.85546875" style="502" customWidth="1"/>
    <col min="6133" max="6133" width="2.7109375" style="502" customWidth="1"/>
    <col min="6134" max="6134" width="35.140625" style="502" customWidth="1"/>
    <col min="6135" max="6135" width="3" style="502" customWidth="1"/>
    <col min="6136" max="6136" width="15.7109375" style="502" customWidth="1"/>
    <col min="6137" max="6145" width="0" style="502" hidden="1" customWidth="1"/>
    <col min="6146" max="6146" width="12.7109375" style="502" customWidth="1"/>
    <col min="6147" max="6148" width="0" style="502" hidden="1" customWidth="1"/>
    <col min="6149" max="6150" width="15.7109375" style="502" customWidth="1"/>
    <col min="6151" max="6159" width="0" style="502" hidden="1" customWidth="1"/>
    <col min="6160" max="6160" width="15.7109375" style="502" customWidth="1"/>
    <col min="6161" max="6162" width="0" style="502" hidden="1" customWidth="1"/>
    <col min="6163" max="6163" width="15.7109375" style="502" customWidth="1"/>
    <col min="6164" max="6164" width="2" style="502" customWidth="1"/>
    <col min="6165" max="6165" width="1.7109375" style="502" customWidth="1"/>
    <col min="6166" max="6166" width="19.85546875" style="502" bestFit="1" customWidth="1"/>
    <col min="6167" max="6167" width="0" style="502" hidden="1" customWidth="1"/>
    <col min="6168" max="6168" width="12.5703125" style="502" customWidth="1"/>
    <col min="6169" max="6386" width="8.85546875" style="502"/>
    <col min="6387" max="6388" width="0.85546875" style="502" customWidth="1"/>
    <col min="6389" max="6389" width="2.7109375" style="502" customWidth="1"/>
    <col min="6390" max="6390" width="35.140625" style="502" customWidth="1"/>
    <col min="6391" max="6391" width="3" style="502" customWidth="1"/>
    <col min="6392" max="6392" width="15.7109375" style="502" customWidth="1"/>
    <col min="6393" max="6401" width="0" style="502" hidden="1" customWidth="1"/>
    <col min="6402" max="6402" width="12.7109375" style="502" customWidth="1"/>
    <col min="6403" max="6404" width="0" style="502" hidden="1" customWidth="1"/>
    <col min="6405" max="6406" width="15.7109375" style="502" customWidth="1"/>
    <col min="6407" max="6415" width="0" style="502" hidden="1" customWidth="1"/>
    <col min="6416" max="6416" width="15.7109375" style="502" customWidth="1"/>
    <col min="6417" max="6418" width="0" style="502" hidden="1" customWidth="1"/>
    <col min="6419" max="6419" width="15.7109375" style="502" customWidth="1"/>
    <col min="6420" max="6420" width="2" style="502" customWidth="1"/>
    <col min="6421" max="6421" width="1.7109375" style="502" customWidth="1"/>
    <col min="6422" max="6422" width="19.85546875" style="502" bestFit="1" customWidth="1"/>
    <col min="6423" max="6423" width="0" style="502" hidden="1" customWidth="1"/>
    <col min="6424" max="6424" width="12.5703125" style="502" customWidth="1"/>
    <col min="6425" max="6642" width="8.85546875" style="502"/>
    <col min="6643" max="6644" width="0.85546875" style="502" customWidth="1"/>
    <col min="6645" max="6645" width="2.7109375" style="502" customWidth="1"/>
    <col min="6646" max="6646" width="35.140625" style="502" customWidth="1"/>
    <col min="6647" max="6647" width="3" style="502" customWidth="1"/>
    <col min="6648" max="6648" width="15.7109375" style="502" customWidth="1"/>
    <col min="6649" max="6657" width="0" style="502" hidden="1" customWidth="1"/>
    <col min="6658" max="6658" width="12.7109375" style="502" customWidth="1"/>
    <col min="6659" max="6660" width="0" style="502" hidden="1" customWidth="1"/>
    <col min="6661" max="6662" width="15.7109375" style="502" customWidth="1"/>
    <col min="6663" max="6671" width="0" style="502" hidden="1" customWidth="1"/>
    <col min="6672" max="6672" width="15.7109375" style="502" customWidth="1"/>
    <col min="6673" max="6674" width="0" style="502" hidden="1" customWidth="1"/>
    <col min="6675" max="6675" width="15.7109375" style="502" customWidth="1"/>
    <col min="6676" max="6676" width="2" style="502" customWidth="1"/>
    <col min="6677" max="6677" width="1.7109375" style="502" customWidth="1"/>
    <col min="6678" max="6678" width="19.85546875" style="502" bestFit="1" customWidth="1"/>
    <col min="6679" max="6679" width="0" style="502" hidden="1" customWidth="1"/>
    <col min="6680" max="6680" width="12.5703125" style="502" customWidth="1"/>
    <col min="6681" max="6898" width="8.85546875" style="502"/>
    <col min="6899" max="6900" width="0.85546875" style="502" customWidth="1"/>
    <col min="6901" max="6901" width="2.7109375" style="502" customWidth="1"/>
    <col min="6902" max="6902" width="35.140625" style="502" customWidth="1"/>
    <col min="6903" max="6903" width="3" style="502" customWidth="1"/>
    <col min="6904" max="6904" width="15.7109375" style="502" customWidth="1"/>
    <col min="6905" max="6913" width="0" style="502" hidden="1" customWidth="1"/>
    <col min="6914" max="6914" width="12.7109375" style="502" customWidth="1"/>
    <col min="6915" max="6916" width="0" style="502" hidden="1" customWidth="1"/>
    <col min="6917" max="6918" width="15.7109375" style="502" customWidth="1"/>
    <col min="6919" max="6927" width="0" style="502" hidden="1" customWidth="1"/>
    <col min="6928" max="6928" width="15.7109375" style="502" customWidth="1"/>
    <col min="6929" max="6930" width="0" style="502" hidden="1" customWidth="1"/>
    <col min="6931" max="6931" width="15.7109375" style="502" customWidth="1"/>
    <col min="6932" max="6932" width="2" style="502" customWidth="1"/>
    <col min="6933" max="6933" width="1.7109375" style="502" customWidth="1"/>
    <col min="6934" max="6934" width="19.85546875" style="502" bestFit="1" customWidth="1"/>
    <col min="6935" max="6935" width="0" style="502" hidden="1" customWidth="1"/>
    <col min="6936" max="6936" width="12.5703125" style="502" customWidth="1"/>
    <col min="6937" max="7154" width="8.85546875" style="502"/>
    <col min="7155" max="7156" width="0.85546875" style="502" customWidth="1"/>
    <col min="7157" max="7157" width="2.7109375" style="502" customWidth="1"/>
    <col min="7158" max="7158" width="35.140625" style="502" customWidth="1"/>
    <col min="7159" max="7159" width="3" style="502" customWidth="1"/>
    <col min="7160" max="7160" width="15.7109375" style="502" customWidth="1"/>
    <col min="7161" max="7169" width="0" style="502" hidden="1" customWidth="1"/>
    <col min="7170" max="7170" width="12.7109375" style="502" customWidth="1"/>
    <col min="7171" max="7172" width="0" style="502" hidden="1" customWidth="1"/>
    <col min="7173" max="7174" width="15.7109375" style="502" customWidth="1"/>
    <col min="7175" max="7183" width="0" style="502" hidden="1" customWidth="1"/>
    <col min="7184" max="7184" width="15.7109375" style="502" customWidth="1"/>
    <col min="7185" max="7186" width="0" style="502" hidden="1" customWidth="1"/>
    <col min="7187" max="7187" width="15.7109375" style="502" customWidth="1"/>
    <col min="7188" max="7188" width="2" style="502" customWidth="1"/>
    <col min="7189" max="7189" width="1.7109375" style="502" customWidth="1"/>
    <col min="7190" max="7190" width="19.85546875" style="502" bestFit="1" customWidth="1"/>
    <col min="7191" max="7191" width="0" style="502" hidden="1" customWidth="1"/>
    <col min="7192" max="7192" width="12.5703125" style="502" customWidth="1"/>
    <col min="7193" max="7410" width="8.85546875" style="502"/>
    <col min="7411" max="7412" width="0.85546875" style="502" customWidth="1"/>
    <col min="7413" max="7413" width="2.7109375" style="502" customWidth="1"/>
    <col min="7414" max="7414" width="35.140625" style="502" customWidth="1"/>
    <col min="7415" max="7415" width="3" style="502" customWidth="1"/>
    <col min="7416" max="7416" width="15.7109375" style="502" customWidth="1"/>
    <col min="7417" max="7425" width="0" style="502" hidden="1" customWidth="1"/>
    <col min="7426" max="7426" width="12.7109375" style="502" customWidth="1"/>
    <col min="7427" max="7428" width="0" style="502" hidden="1" customWidth="1"/>
    <col min="7429" max="7430" width="15.7109375" style="502" customWidth="1"/>
    <col min="7431" max="7439" width="0" style="502" hidden="1" customWidth="1"/>
    <col min="7440" max="7440" width="15.7109375" style="502" customWidth="1"/>
    <col min="7441" max="7442" width="0" style="502" hidden="1" customWidth="1"/>
    <col min="7443" max="7443" width="15.7109375" style="502" customWidth="1"/>
    <col min="7444" max="7444" width="2" style="502" customWidth="1"/>
    <col min="7445" max="7445" width="1.7109375" style="502" customWidth="1"/>
    <col min="7446" max="7446" width="19.85546875" style="502" bestFit="1" customWidth="1"/>
    <col min="7447" max="7447" width="0" style="502" hidden="1" customWidth="1"/>
    <col min="7448" max="7448" width="12.5703125" style="502" customWidth="1"/>
    <col min="7449" max="7666" width="8.85546875" style="502"/>
    <col min="7667" max="7668" width="0.85546875" style="502" customWidth="1"/>
    <col min="7669" max="7669" width="2.7109375" style="502" customWidth="1"/>
    <col min="7670" max="7670" width="35.140625" style="502" customWidth="1"/>
    <col min="7671" max="7671" width="3" style="502" customWidth="1"/>
    <col min="7672" max="7672" width="15.7109375" style="502" customWidth="1"/>
    <col min="7673" max="7681" width="0" style="502" hidden="1" customWidth="1"/>
    <col min="7682" max="7682" width="12.7109375" style="502" customWidth="1"/>
    <col min="7683" max="7684" width="0" style="502" hidden="1" customWidth="1"/>
    <col min="7685" max="7686" width="15.7109375" style="502" customWidth="1"/>
    <col min="7687" max="7695" width="0" style="502" hidden="1" customWidth="1"/>
    <col min="7696" max="7696" width="15.7109375" style="502" customWidth="1"/>
    <col min="7697" max="7698" width="0" style="502" hidden="1" customWidth="1"/>
    <col min="7699" max="7699" width="15.7109375" style="502" customWidth="1"/>
    <col min="7700" max="7700" width="2" style="502" customWidth="1"/>
    <col min="7701" max="7701" width="1.7109375" style="502" customWidth="1"/>
    <col min="7702" max="7702" width="19.85546875" style="502" bestFit="1" customWidth="1"/>
    <col min="7703" max="7703" width="0" style="502" hidden="1" customWidth="1"/>
    <col min="7704" max="7704" width="12.5703125" style="502" customWidth="1"/>
    <col min="7705" max="7922" width="8.85546875" style="502"/>
    <col min="7923" max="7924" width="0.85546875" style="502" customWidth="1"/>
    <col min="7925" max="7925" width="2.7109375" style="502" customWidth="1"/>
    <col min="7926" max="7926" width="35.140625" style="502" customWidth="1"/>
    <col min="7927" max="7927" width="3" style="502" customWidth="1"/>
    <col min="7928" max="7928" width="15.7109375" style="502" customWidth="1"/>
    <col min="7929" max="7937" width="0" style="502" hidden="1" customWidth="1"/>
    <col min="7938" max="7938" width="12.7109375" style="502" customWidth="1"/>
    <col min="7939" max="7940" width="0" style="502" hidden="1" customWidth="1"/>
    <col min="7941" max="7942" width="15.7109375" style="502" customWidth="1"/>
    <col min="7943" max="7951" width="0" style="502" hidden="1" customWidth="1"/>
    <col min="7952" max="7952" width="15.7109375" style="502" customWidth="1"/>
    <col min="7953" max="7954" width="0" style="502" hidden="1" customWidth="1"/>
    <col min="7955" max="7955" width="15.7109375" style="502" customWidth="1"/>
    <col min="7956" max="7956" width="2" style="502" customWidth="1"/>
    <col min="7957" max="7957" width="1.7109375" style="502" customWidth="1"/>
    <col min="7958" max="7958" width="19.85546875" style="502" bestFit="1" customWidth="1"/>
    <col min="7959" max="7959" width="0" style="502" hidden="1" customWidth="1"/>
    <col min="7960" max="7960" width="12.5703125" style="502" customWidth="1"/>
    <col min="7961" max="8178" width="8.85546875" style="502"/>
    <col min="8179" max="8180" width="0.85546875" style="502" customWidth="1"/>
    <col min="8181" max="8181" width="2.7109375" style="502" customWidth="1"/>
    <col min="8182" max="8182" width="35.140625" style="502" customWidth="1"/>
    <col min="8183" max="8183" width="3" style="502" customWidth="1"/>
    <col min="8184" max="8184" width="15.7109375" style="502" customWidth="1"/>
    <col min="8185" max="8193" width="0" style="502" hidden="1" customWidth="1"/>
    <col min="8194" max="8194" width="12.7109375" style="502" customWidth="1"/>
    <col min="8195" max="8196" width="0" style="502" hidden="1" customWidth="1"/>
    <col min="8197" max="8198" width="15.7109375" style="502" customWidth="1"/>
    <col min="8199" max="8207" width="0" style="502" hidden="1" customWidth="1"/>
    <col min="8208" max="8208" width="15.7109375" style="502" customWidth="1"/>
    <col min="8209" max="8210" width="0" style="502" hidden="1" customWidth="1"/>
    <col min="8211" max="8211" width="15.7109375" style="502" customWidth="1"/>
    <col min="8212" max="8212" width="2" style="502" customWidth="1"/>
    <col min="8213" max="8213" width="1.7109375" style="502" customWidth="1"/>
    <col min="8214" max="8214" width="19.85546875" style="502" bestFit="1" customWidth="1"/>
    <col min="8215" max="8215" width="0" style="502" hidden="1" customWidth="1"/>
    <col min="8216" max="8216" width="12.5703125" style="502" customWidth="1"/>
    <col min="8217" max="8434" width="8.85546875" style="502"/>
    <col min="8435" max="8436" width="0.85546875" style="502" customWidth="1"/>
    <col min="8437" max="8437" width="2.7109375" style="502" customWidth="1"/>
    <col min="8438" max="8438" width="35.140625" style="502" customWidth="1"/>
    <col min="8439" max="8439" width="3" style="502" customWidth="1"/>
    <col min="8440" max="8440" width="15.7109375" style="502" customWidth="1"/>
    <col min="8441" max="8449" width="0" style="502" hidden="1" customWidth="1"/>
    <col min="8450" max="8450" width="12.7109375" style="502" customWidth="1"/>
    <col min="8451" max="8452" width="0" style="502" hidden="1" customWidth="1"/>
    <col min="8453" max="8454" width="15.7109375" style="502" customWidth="1"/>
    <col min="8455" max="8463" width="0" style="502" hidden="1" customWidth="1"/>
    <col min="8464" max="8464" width="15.7109375" style="502" customWidth="1"/>
    <col min="8465" max="8466" width="0" style="502" hidden="1" customWidth="1"/>
    <col min="8467" max="8467" width="15.7109375" style="502" customWidth="1"/>
    <col min="8468" max="8468" width="2" style="502" customWidth="1"/>
    <col min="8469" max="8469" width="1.7109375" style="502" customWidth="1"/>
    <col min="8470" max="8470" width="19.85546875" style="502" bestFit="1" customWidth="1"/>
    <col min="8471" max="8471" width="0" style="502" hidden="1" customWidth="1"/>
    <col min="8472" max="8472" width="12.5703125" style="502" customWidth="1"/>
    <col min="8473" max="8690" width="8.85546875" style="502"/>
    <col min="8691" max="8692" width="0.85546875" style="502" customWidth="1"/>
    <col min="8693" max="8693" width="2.7109375" style="502" customWidth="1"/>
    <col min="8694" max="8694" width="35.140625" style="502" customWidth="1"/>
    <col min="8695" max="8695" width="3" style="502" customWidth="1"/>
    <col min="8696" max="8696" width="15.7109375" style="502" customWidth="1"/>
    <col min="8697" max="8705" width="0" style="502" hidden="1" customWidth="1"/>
    <col min="8706" max="8706" width="12.7109375" style="502" customWidth="1"/>
    <col min="8707" max="8708" width="0" style="502" hidden="1" customWidth="1"/>
    <col min="8709" max="8710" width="15.7109375" style="502" customWidth="1"/>
    <col min="8711" max="8719" width="0" style="502" hidden="1" customWidth="1"/>
    <col min="8720" max="8720" width="15.7109375" style="502" customWidth="1"/>
    <col min="8721" max="8722" width="0" style="502" hidden="1" customWidth="1"/>
    <col min="8723" max="8723" width="15.7109375" style="502" customWidth="1"/>
    <col min="8724" max="8724" width="2" style="502" customWidth="1"/>
    <col min="8725" max="8725" width="1.7109375" style="502" customWidth="1"/>
    <col min="8726" max="8726" width="19.85546875" style="502" bestFit="1" customWidth="1"/>
    <col min="8727" max="8727" width="0" style="502" hidden="1" customWidth="1"/>
    <col min="8728" max="8728" width="12.5703125" style="502" customWidth="1"/>
    <col min="8729" max="8946" width="8.85546875" style="502"/>
    <col min="8947" max="8948" width="0.85546875" style="502" customWidth="1"/>
    <col min="8949" max="8949" width="2.7109375" style="502" customWidth="1"/>
    <col min="8950" max="8950" width="35.140625" style="502" customWidth="1"/>
    <col min="8951" max="8951" width="3" style="502" customWidth="1"/>
    <col min="8952" max="8952" width="15.7109375" style="502" customWidth="1"/>
    <col min="8953" max="8961" width="0" style="502" hidden="1" customWidth="1"/>
    <col min="8962" max="8962" width="12.7109375" style="502" customWidth="1"/>
    <col min="8963" max="8964" width="0" style="502" hidden="1" customWidth="1"/>
    <col min="8965" max="8966" width="15.7109375" style="502" customWidth="1"/>
    <col min="8967" max="8975" width="0" style="502" hidden="1" customWidth="1"/>
    <col min="8976" max="8976" width="15.7109375" style="502" customWidth="1"/>
    <col min="8977" max="8978" width="0" style="502" hidden="1" customWidth="1"/>
    <col min="8979" max="8979" width="15.7109375" style="502" customWidth="1"/>
    <col min="8980" max="8980" width="2" style="502" customWidth="1"/>
    <col min="8981" max="8981" width="1.7109375" style="502" customWidth="1"/>
    <col min="8982" max="8982" width="19.85546875" style="502" bestFit="1" customWidth="1"/>
    <col min="8983" max="8983" width="0" style="502" hidden="1" customWidth="1"/>
    <col min="8984" max="8984" width="12.5703125" style="502" customWidth="1"/>
    <col min="8985" max="9202" width="8.85546875" style="502"/>
    <col min="9203" max="9204" width="0.85546875" style="502" customWidth="1"/>
    <col min="9205" max="9205" width="2.7109375" style="502" customWidth="1"/>
    <col min="9206" max="9206" width="35.140625" style="502" customWidth="1"/>
    <col min="9207" max="9207" width="3" style="502" customWidth="1"/>
    <col min="9208" max="9208" width="15.7109375" style="502" customWidth="1"/>
    <col min="9209" max="9217" width="0" style="502" hidden="1" customWidth="1"/>
    <col min="9218" max="9218" width="12.7109375" style="502" customWidth="1"/>
    <col min="9219" max="9220" width="0" style="502" hidden="1" customWidth="1"/>
    <col min="9221" max="9222" width="15.7109375" style="502" customWidth="1"/>
    <col min="9223" max="9231" width="0" style="502" hidden="1" customWidth="1"/>
    <col min="9232" max="9232" width="15.7109375" style="502" customWidth="1"/>
    <col min="9233" max="9234" width="0" style="502" hidden="1" customWidth="1"/>
    <col min="9235" max="9235" width="15.7109375" style="502" customWidth="1"/>
    <col min="9236" max="9236" width="2" style="502" customWidth="1"/>
    <col min="9237" max="9237" width="1.7109375" style="502" customWidth="1"/>
    <col min="9238" max="9238" width="19.85546875" style="502" bestFit="1" customWidth="1"/>
    <col min="9239" max="9239" width="0" style="502" hidden="1" customWidth="1"/>
    <col min="9240" max="9240" width="12.5703125" style="502" customWidth="1"/>
    <col min="9241" max="9458" width="8.85546875" style="502"/>
    <col min="9459" max="9460" width="0.85546875" style="502" customWidth="1"/>
    <col min="9461" max="9461" width="2.7109375" style="502" customWidth="1"/>
    <col min="9462" max="9462" width="35.140625" style="502" customWidth="1"/>
    <col min="9463" max="9463" width="3" style="502" customWidth="1"/>
    <col min="9464" max="9464" width="15.7109375" style="502" customWidth="1"/>
    <col min="9465" max="9473" width="0" style="502" hidden="1" customWidth="1"/>
    <col min="9474" max="9474" width="12.7109375" style="502" customWidth="1"/>
    <col min="9475" max="9476" width="0" style="502" hidden="1" customWidth="1"/>
    <col min="9477" max="9478" width="15.7109375" style="502" customWidth="1"/>
    <col min="9479" max="9487" width="0" style="502" hidden="1" customWidth="1"/>
    <col min="9488" max="9488" width="15.7109375" style="502" customWidth="1"/>
    <col min="9489" max="9490" width="0" style="502" hidden="1" customWidth="1"/>
    <col min="9491" max="9491" width="15.7109375" style="502" customWidth="1"/>
    <col min="9492" max="9492" width="2" style="502" customWidth="1"/>
    <col min="9493" max="9493" width="1.7109375" style="502" customWidth="1"/>
    <col min="9494" max="9494" width="19.85546875" style="502" bestFit="1" customWidth="1"/>
    <col min="9495" max="9495" width="0" style="502" hidden="1" customWidth="1"/>
    <col min="9496" max="9496" width="12.5703125" style="502" customWidth="1"/>
    <col min="9497" max="9714" width="8.85546875" style="502"/>
    <col min="9715" max="9716" width="0.85546875" style="502" customWidth="1"/>
    <col min="9717" max="9717" width="2.7109375" style="502" customWidth="1"/>
    <col min="9718" max="9718" width="35.140625" style="502" customWidth="1"/>
    <col min="9719" max="9719" width="3" style="502" customWidth="1"/>
    <col min="9720" max="9720" width="15.7109375" style="502" customWidth="1"/>
    <col min="9721" max="9729" width="0" style="502" hidden="1" customWidth="1"/>
    <col min="9730" max="9730" width="12.7109375" style="502" customWidth="1"/>
    <col min="9731" max="9732" width="0" style="502" hidden="1" customWidth="1"/>
    <col min="9733" max="9734" width="15.7109375" style="502" customWidth="1"/>
    <col min="9735" max="9743" width="0" style="502" hidden="1" customWidth="1"/>
    <col min="9744" max="9744" width="15.7109375" style="502" customWidth="1"/>
    <col min="9745" max="9746" width="0" style="502" hidden="1" customWidth="1"/>
    <col min="9747" max="9747" width="15.7109375" style="502" customWidth="1"/>
    <col min="9748" max="9748" width="2" style="502" customWidth="1"/>
    <col min="9749" max="9749" width="1.7109375" style="502" customWidth="1"/>
    <col min="9750" max="9750" width="19.85546875" style="502" bestFit="1" customWidth="1"/>
    <col min="9751" max="9751" width="0" style="502" hidden="1" customWidth="1"/>
    <col min="9752" max="9752" width="12.5703125" style="502" customWidth="1"/>
    <col min="9753" max="9970" width="8.85546875" style="502"/>
    <col min="9971" max="9972" width="0.85546875" style="502" customWidth="1"/>
    <col min="9973" max="9973" width="2.7109375" style="502" customWidth="1"/>
    <col min="9974" max="9974" width="35.140625" style="502" customWidth="1"/>
    <col min="9975" max="9975" width="3" style="502" customWidth="1"/>
    <col min="9976" max="9976" width="15.7109375" style="502" customWidth="1"/>
    <col min="9977" max="9985" width="0" style="502" hidden="1" customWidth="1"/>
    <col min="9986" max="9986" width="12.7109375" style="502" customWidth="1"/>
    <col min="9987" max="9988" width="0" style="502" hidden="1" customWidth="1"/>
    <col min="9989" max="9990" width="15.7109375" style="502" customWidth="1"/>
    <col min="9991" max="9999" width="0" style="502" hidden="1" customWidth="1"/>
    <col min="10000" max="10000" width="15.7109375" style="502" customWidth="1"/>
    <col min="10001" max="10002" width="0" style="502" hidden="1" customWidth="1"/>
    <col min="10003" max="10003" width="15.7109375" style="502" customWidth="1"/>
    <col min="10004" max="10004" width="2" style="502" customWidth="1"/>
    <col min="10005" max="10005" width="1.7109375" style="502" customWidth="1"/>
    <col min="10006" max="10006" width="19.85546875" style="502" bestFit="1" customWidth="1"/>
    <col min="10007" max="10007" width="0" style="502" hidden="1" customWidth="1"/>
    <col min="10008" max="10008" width="12.5703125" style="502" customWidth="1"/>
    <col min="10009" max="10226" width="8.85546875" style="502"/>
    <col min="10227" max="10228" width="0.85546875" style="502" customWidth="1"/>
    <col min="10229" max="10229" width="2.7109375" style="502" customWidth="1"/>
    <col min="10230" max="10230" width="35.140625" style="502" customWidth="1"/>
    <col min="10231" max="10231" width="3" style="502" customWidth="1"/>
    <col min="10232" max="10232" width="15.7109375" style="502" customWidth="1"/>
    <col min="10233" max="10241" width="0" style="502" hidden="1" customWidth="1"/>
    <col min="10242" max="10242" width="12.7109375" style="502" customWidth="1"/>
    <col min="10243" max="10244" width="0" style="502" hidden="1" customWidth="1"/>
    <col min="10245" max="10246" width="15.7109375" style="502" customWidth="1"/>
    <col min="10247" max="10255" width="0" style="502" hidden="1" customWidth="1"/>
    <col min="10256" max="10256" width="15.7109375" style="502" customWidth="1"/>
    <col min="10257" max="10258" width="0" style="502" hidden="1" customWidth="1"/>
    <col min="10259" max="10259" width="15.7109375" style="502" customWidth="1"/>
    <col min="10260" max="10260" width="2" style="502" customWidth="1"/>
    <col min="10261" max="10261" width="1.7109375" style="502" customWidth="1"/>
    <col min="10262" max="10262" width="19.85546875" style="502" bestFit="1" customWidth="1"/>
    <col min="10263" max="10263" width="0" style="502" hidden="1" customWidth="1"/>
    <col min="10264" max="10264" width="12.5703125" style="502" customWidth="1"/>
    <col min="10265" max="10482" width="8.85546875" style="502"/>
    <col min="10483" max="10484" width="0.85546875" style="502" customWidth="1"/>
    <col min="10485" max="10485" width="2.7109375" style="502" customWidth="1"/>
    <col min="10486" max="10486" width="35.140625" style="502" customWidth="1"/>
    <col min="10487" max="10487" width="3" style="502" customWidth="1"/>
    <col min="10488" max="10488" width="15.7109375" style="502" customWidth="1"/>
    <col min="10489" max="10497" width="0" style="502" hidden="1" customWidth="1"/>
    <col min="10498" max="10498" width="12.7109375" style="502" customWidth="1"/>
    <col min="10499" max="10500" width="0" style="502" hidden="1" customWidth="1"/>
    <col min="10501" max="10502" width="15.7109375" style="502" customWidth="1"/>
    <col min="10503" max="10511" width="0" style="502" hidden="1" customWidth="1"/>
    <col min="10512" max="10512" width="15.7109375" style="502" customWidth="1"/>
    <col min="10513" max="10514" width="0" style="502" hidden="1" customWidth="1"/>
    <col min="10515" max="10515" width="15.7109375" style="502" customWidth="1"/>
    <col min="10516" max="10516" width="2" style="502" customWidth="1"/>
    <col min="10517" max="10517" width="1.7109375" style="502" customWidth="1"/>
    <col min="10518" max="10518" width="19.85546875" style="502" bestFit="1" customWidth="1"/>
    <col min="10519" max="10519" width="0" style="502" hidden="1" customWidth="1"/>
    <col min="10520" max="10520" width="12.5703125" style="502" customWidth="1"/>
    <col min="10521" max="10738" width="8.85546875" style="502"/>
    <col min="10739" max="10740" width="0.85546875" style="502" customWidth="1"/>
    <col min="10741" max="10741" width="2.7109375" style="502" customWidth="1"/>
    <col min="10742" max="10742" width="35.140625" style="502" customWidth="1"/>
    <col min="10743" max="10743" width="3" style="502" customWidth="1"/>
    <col min="10744" max="10744" width="15.7109375" style="502" customWidth="1"/>
    <col min="10745" max="10753" width="0" style="502" hidden="1" customWidth="1"/>
    <col min="10754" max="10754" width="12.7109375" style="502" customWidth="1"/>
    <col min="10755" max="10756" width="0" style="502" hidden="1" customWidth="1"/>
    <col min="10757" max="10758" width="15.7109375" style="502" customWidth="1"/>
    <col min="10759" max="10767" width="0" style="502" hidden="1" customWidth="1"/>
    <col min="10768" max="10768" width="15.7109375" style="502" customWidth="1"/>
    <col min="10769" max="10770" width="0" style="502" hidden="1" customWidth="1"/>
    <col min="10771" max="10771" width="15.7109375" style="502" customWidth="1"/>
    <col min="10772" max="10772" width="2" style="502" customWidth="1"/>
    <col min="10773" max="10773" width="1.7109375" style="502" customWidth="1"/>
    <col min="10774" max="10774" width="19.85546875" style="502" bestFit="1" customWidth="1"/>
    <col min="10775" max="10775" width="0" style="502" hidden="1" customWidth="1"/>
    <col min="10776" max="10776" width="12.5703125" style="502" customWidth="1"/>
    <col min="10777" max="10994" width="8.85546875" style="502"/>
    <col min="10995" max="10996" width="0.85546875" style="502" customWidth="1"/>
    <col min="10997" max="10997" width="2.7109375" style="502" customWidth="1"/>
    <col min="10998" max="10998" width="35.140625" style="502" customWidth="1"/>
    <col min="10999" max="10999" width="3" style="502" customWidth="1"/>
    <col min="11000" max="11000" width="15.7109375" style="502" customWidth="1"/>
    <col min="11001" max="11009" width="0" style="502" hidden="1" customWidth="1"/>
    <col min="11010" max="11010" width="12.7109375" style="502" customWidth="1"/>
    <col min="11011" max="11012" width="0" style="502" hidden="1" customWidth="1"/>
    <col min="11013" max="11014" width="15.7109375" style="502" customWidth="1"/>
    <col min="11015" max="11023" width="0" style="502" hidden="1" customWidth="1"/>
    <col min="11024" max="11024" width="15.7109375" style="502" customWidth="1"/>
    <col min="11025" max="11026" width="0" style="502" hidden="1" customWidth="1"/>
    <col min="11027" max="11027" width="15.7109375" style="502" customWidth="1"/>
    <col min="11028" max="11028" width="2" style="502" customWidth="1"/>
    <col min="11029" max="11029" width="1.7109375" style="502" customWidth="1"/>
    <col min="11030" max="11030" width="19.85546875" style="502" bestFit="1" customWidth="1"/>
    <col min="11031" max="11031" width="0" style="502" hidden="1" customWidth="1"/>
    <col min="11032" max="11032" width="12.5703125" style="502" customWidth="1"/>
    <col min="11033" max="11250" width="8.85546875" style="502"/>
    <col min="11251" max="11252" width="0.85546875" style="502" customWidth="1"/>
    <col min="11253" max="11253" width="2.7109375" style="502" customWidth="1"/>
    <col min="11254" max="11254" width="35.140625" style="502" customWidth="1"/>
    <col min="11255" max="11255" width="3" style="502" customWidth="1"/>
    <col min="11256" max="11256" width="15.7109375" style="502" customWidth="1"/>
    <col min="11257" max="11265" width="0" style="502" hidden="1" customWidth="1"/>
    <col min="11266" max="11266" width="12.7109375" style="502" customWidth="1"/>
    <col min="11267" max="11268" width="0" style="502" hidden="1" customWidth="1"/>
    <col min="11269" max="11270" width="15.7109375" style="502" customWidth="1"/>
    <col min="11271" max="11279" width="0" style="502" hidden="1" customWidth="1"/>
    <col min="11280" max="11280" width="15.7109375" style="502" customWidth="1"/>
    <col min="11281" max="11282" width="0" style="502" hidden="1" customWidth="1"/>
    <col min="11283" max="11283" width="15.7109375" style="502" customWidth="1"/>
    <col min="11284" max="11284" width="2" style="502" customWidth="1"/>
    <col min="11285" max="11285" width="1.7109375" style="502" customWidth="1"/>
    <col min="11286" max="11286" width="19.85546875" style="502" bestFit="1" customWidth="1"/>
    <col min="11287" max="11287" width="0" style="502" hidden="1" customWidth="1"/>
    <col min="11288" max="11288" width="12.5703125" style="502" customWidth="1"/>
    <col min="11289" max="11506" width="8.85546875" style="502"/>
    <col min="11507" max="11508" width="0.85546875" style="502" customWidth="1"/>
    <col min="11509" max="11509" width="2.7109375" style="502" customWidth="1"/>
    <col min="11510" max="11510" width="35.140625" style="502" customWidth="1"/>
    <col min="11511" max="11511" width="3" style="502" customWidth="1"/>
    <col min="11512" max="11512" width="15.7109375" style="502" customWidth="1"/>
    <col min="11513" max="11521" width="0" style="502" hidden="1" customWidth="1"/>
    <col min="11522" max="11522" width="12.7109375" style="502" customWidth="1"/>
    <col min="11523" max="11524" width="0" style="502" hidden="1" customWidth="1"/>
    <col min="11525" max="11526" width="15.7109375" style="502" customWidth="1"/>
    <col min="11527" max="11535" width="0" style="502" hidden="1" customWidth="1"/>
    <col min="11536" max="11536" width="15.7109375" style="502" customWidth="1"/>
    <col min="11537" max="11538" width="0" style="502" hidden="1" customWidth="1"/>
    <col min="11539" max="11539" width="15.7109375" style="502" customWidth="1"/>
    <col min="11540" max="11540" width="2" style="502" customWidth="1"/>
    <col min="11541" max="11541" width="1.7109375" style="502" customWidth="1"/>
    <col min="11542" max="11542" width="19.85546875" style="502" bestFit="1" customWidth="1"/>
    <col min="11543" max="11543" width="0" style="502" hidden="1" customWidth="1"/>
    <col min="11544" max="11544" width="12.5703125" style="502" customWidth="1"/>
    <col min="11545" max="11762" width="8.85546875" style="502"/>
    <col min="11763" max="11764" width="0.85546875" style="502" customWidth="1"/>
    <col min="11765" max="11765" width="2.7109375" style="502" customWidth="1"/>
    <col min="11766" max="11766" width="35.140625" style="502" customWidth="1"/>
    <col min="11767" max="11767" width="3" style="502" customWidth="1"/>
    <col min="11768" max="11768" width="15.7109375" style="502" customWidth="1"/>
    <col min="11769" max="11777" width="0" style="502" hidden="1" customWidth="1"/>
    <col min="11778" max="11778" width="12.7109375" style="502" customWidth="1"/>
    <col min="11779" max="11780" width="0" style="502" hidden="1" customWidth="1"/>
    <col min="11781" max="11782" width="15.7109375" style="502" customWidth="1"/>
    <col min="11783" max="11791" width="0" style="502" hidden="1" customWidth="1"/>
    <col min="11792" max="11792" width="15.7109375" style="502" customWidth="1"/>
    <col min="11793" max="11794" width="0" style="502" hidden="1" customWidth="1"/>
    <col min="11795" max="11795" width="15.7109375" style="502" customWidth="1"/>
    <col min="11796" max="11796" width="2" style="502" customWidth="1"/>
    <col min="11797" max="11797" width="1.7109375" style="502" customWidth="1"/>
    <col min="11798" max="11798" width="19.85546875" style="502" bestFit="1" customWidth="1"/>
    <col min="11799" max="11799" width="0" style="502" hidden="1" customWidth="1"/>
    <col min="11800" max="11800" width="12.5703125" style="502" customWidth="1"/>
    <col min="11801" max="12018" width="8.85546875" style="502"/>
    <col min="12019" max="12020" width="0.85546875" style="502" customWidth="1"/>
    <col min="12021" max="12021" width="2.7109375" style="502" customWidth="1"/>
    <col min="12022" max="12022" width="35.140625" style="502" customWidth="1"/>
    <col min="12023" max="12023" width="3" style="502" customWidth="1"/>
    <col min="12024" max="12024" width="15.7109375" style="502" customWidth="1"/>
    <col min="12025" max="12033" width="0" style="502" hidden="1" customWidth="1"/>
    <col min="12034" max="12034" width="12.7109375" style="502" customWidth="1"/>
    <col min="12035" max="12036" width="0" style="502" hidden="1" customWidth="1"/>
    <col min="12037" max="12038" width="15.7109375" style="502" customWidth="1"/>
    <col min="12039" max="12047" width="0" style="502" hidden="1" customWidth="1"/>
    <col min="12048" max="12048" width="15.7109375" style="502" customWidth="1"/>
    <col min="12049" max="12050" width="0" style="502" hidden="1" customWidth="1"/>
    <col min="12051" max="12051" width="15.7109375" style="502" customWidth="1"/>
    <col min="12052" max="12052" width="2" style="502" customWidth="1"/>
    <col min="12053" max="12053" width="1.7109375" style="502" customWidth="1"/>
    <col min="12054" max="12054" width="19.85546875" style="502" bestFit="1" customWidth="1"/>
    <col min="12055" max="12055" width="0" style="502" hidden="1" customWidth="1"/>
    <col min="12056" max="12056" width="12.5703125" style="502" customWidth="1"/>
    <col min="12057" max="12274" width="8.85546875" style="502"/>
    <col min="12275" max="12276" width="0.85546875" style="502" customWidth="1"/>
    <col min="12277" max="12277" width="2.7109375" style="502" customWidth="1"/>
    <col min="12278" max="12278" width="35.140625" style="502" customWidth="1"/>
    <col min="12279" max="12279" width="3" style="502" customWidth="1"/>
    <col min="12280" max="12280" width="15.7109375" style="502" customWidth="1"/>
    <col min="12281" max="12289" width="0" style="502" hidden="1" customWidth="1"/>
    <col min="12290" max="12290" width="12.7109375" style="502" customWidth="1"/>
    <col min="12291" max="12292" width="0" style="502" hidden="1" customWidth="1"/>
    <col min="12293" max="12294" width="15.7109375" style="502" customWidth="1"/>
    <col min="12295" max="12303" width="0" style="502" hidden="1" customWidth="1"/>
    <col min="12304" max="12304" width="15.7109375" style="502" customWidth="1"/>
    <col min="12305" max="12306" width="0" style="502" hidden="1" customWidth="1"/>
    <col min="12307" max="12307" width="15.7109375" style="502" customWidth="1"/>
    <col min="12308" max="12308" width="2" style="502" customWidth="1"/>
    <col min="12309" max="12309" width="1.7109375" style="502" customWidth="1"/>
    <col min="12310" max="12310" width="19.85546875" style="502" bestFit="1" customWidth="1"/>
    <col min="12311" max="12311" width="0" style="502" hidden="1" customWidth="1"/>
    <col min="12312" max="12312" width="12.5703125" style="502" customWidth="1"/>
    <col min="12313" max="12530" width="8.85546875" style="502"/>
    <col min="12531" max="12532" width="0.85546875" style="502" customWidth="1"/>
    <col min="12533" max="12533" width="2.7109375" style="502" customWidth="1"/>
    <col min="12534" max="12534" width="35.140625" style="502" customWidth="1"/>
    <col min="12535" max="12535" width="3" style="502" customWidth="1"/>
    <col min="12536" max="12536" width="15.7109375" style="502" customWidth="1"/>
    <col min="12537" max="12545" width="0" style="502" hidden="1" customWidth="1"/>
    <col min="12546" max="12546" width="12.7109375" style="502" customWidth="1"/>
    <col min="12547" max="12548" width="0" style="502" hidden="1" customWidth="1"/>
    <col min="12549" max="12550" width="15.7109375" style="502" customWidth="1"/>
    <col min="12551" max="12559" width="0" style="502" hidden="1" customWidth="1"/>
    <col min="12560" max="12560" width="15.7109375" style="502" customWidth="1"/>
    <col min="12561" max="12562" width="0" style="502" hidden="1" customWidth="1"/>
    <col min="12563" max="12563" width="15.7109375" style="502" customWidth="1"/>
    <col min="12564" max="12564" width="2" style="502" customWidth="1"/>
    <col min="12565" max="12565" width="1.7109375" style="502" customWidth="1"/>
    <col min="12566" max="12566" width="19.85546875" style="502" bestFit="1" customWidth="1"/>
    <col min="12567" max="12567" width="0" style="502" hidden="1" customWidth="1"/>
    <col min="12568" max="12568" width="12.5703125" style="502" customWidth="1"/>
    <col min="12569" max="12786" width="8.85546875" style="502"/>
    <col min="12787" max="12788" width="0.85546875" style="502" customWidth="1"/>
    <col min="12789" max="12789" width="2.7109375" style="502" customWidth="1"/>
    <col min="12790" max="12790" width="35.140625" style="502" customWidth="1"/>
    <col min="12791" max="12791" width="3" style="502" customWidth="1"/>
    <col min="12792" max="12792" width="15.7109375" style="502" customWidth="1"/>
    <col min="12793" max="12801" width="0" style="502" hidden="1" customWidth="1"/>
    <col min="12802" max="12802" width="12.7109375" style="502" customWidth="1"/>
    <col min="12803" max="12804" width="0" style="502" hidden="1" customWidth="1"/>
    <col min="12805" max="12806" width="15.7109375" style="502" customWidth="1"/>
    <col min="12807" max="12815" width="0" style="502" hidden="1" customWidth="1"/>
    <col min="12816" max="12816" width="15.7109375" style="502" customWidth="1"/>
    <col min="12817" max="12818" width="0" style="502" hidden="1" customWidth="1"/>
    <col min="12819" max="12819" width="15.7109375" style="502" customWidth="1"/>
    <col min="12820" max="12820" width="2" style="502" customWidth="1"/>
    <col min="12821" max="12821" width="1.7109375" style="502" customWidth="1"/>
    <col min="12822" max="12822" width="19.85546875" style="502" bestFit="1" customWidth="1"/>
    <col min="12823" max="12823" width="0" style="502" hidden="1" customWidth="1"/>
    <col min="12824" max="12824" width="12.5703125" style="502" customWidth="1"/>
    <col min="12825" max="13042" width="8.85546875" style="502"/>
    <col min="13043" max="13044" width="0.85546875" style="502" customWidth="1"/>
    <col min="13045" max="13045" width="2.7109375" style="502" customWidth="1"/>
    <col min="13046" max="13046" width="35.140625" style="502" customWidth="1"/>
    <col min="13047" max="13047" width="3" style="502" customWidth="1"/>
    <col min="13048" max="13048" width="15.7109375" style="502" customWidth="1"/>
    <col min="13049" max="13057" width="0" style="502" hidden="1" customWidth="1"/>
    <col min="13058" max="13058" width="12.7109375" style="502" customWidth="1"/>
    <col min="13059" max="13060" width="0" style="502" hidden="1" customWidth="1"/>
    <col min="13061" max="13062" width="15.7109375" style="502" customWidth="1"/>
    <col min="13063" max="13071" width="0" style="502" hidden="1" customWidth="1"/>
    <col min="13072" max="13072" width="15.7109375" style="502" customWidth="1"/>
    <col min="13073" max="13074" width="0" style="502" hidden="1" customWidth="1"/>
    <col min="13075" max="13075" width="15.7109375" style="502" customWidth="1"/>
    <col min="13076" max="13076" width="2" style="502" customWidth="1"/>
    <col min="13077" max="13077" width="1.7109375" style="502" customWidth="1"/>
    <col min="13078" max="13078" width="19.85546875" style="502" bestFit="1" customWidth="1"/>
    <col min="13079" max="13079" width="0" style="502" hidden="1" customWidth="1"/>
    <col min="13080" max="13080" width="12.5703125" style="502" customWidth="1"/>
    <col min="13081" max="13298" width="8.85546875" style="502"/>
    <col min="13299" max="13300" width="0.85546875" style="502" customWidth="1"/>
    <col min="13301" max="13301" width="2.7109375" style="502" customWidth="1"/>
    <col min="13302" max="13302" width="35.140625" style="502" customWidth="1"/>
    <col min="13303" max="13303" width="3" style="502" customWidth="1"/>
    <col min="13304" max="13304" width="15.7109375" style="502" customWidth="1"/>
    <col min="13305" max="13313" width="0" style="502" hidden="1" customWidth="1"/>
    <col min="13314" max="13314" width="12.7109375" style="502" customWidth="1"/>
    <col min="13315" max="13316" width="0" style="502" hidden="1" customWidth="1"/>
    <col min="13317" max="13318" width="15.7109375" style="502" customWidth="1"/>
    <col min="13319" max="13327" width="0" style="502" hidden="1" customWidth="1"/>
    <col min="13328" max="13328" width="15.7109375" style="502" customWidth="1"/>
    <col min="13329" max="13330" width="0" style="502" hidden="1" customWidth="1"/>
    <col min="13331" max="13331" width="15.7109375" style="502" customWidth="1"/>
    <col min="13332" max="13332" width="2" style="502" customWidth="1"/>
    <col min="13333" max="13333" width="1.7109375" style="502" customWidth="1"/>
    <col min="13334" max="13334" width="19.85546875" style="502" bestFit="1" customWidth="1"/>
    <col min="13335" max="13335" width="0" style="502" hidden="1" customWidth="1"/>
    <col min="13336" max="13336" width="12.5703125" style="502" customWidth="1"/>
    <col min="13337" max="13554" width="8.85546875" style="502"/>
    <col min="13555" max="13556" width="0.85546875" style="502" customWidth="1"/>
    <col min="13557" max="13557" width="2.7109375" style="502" customWidth="1"/>
    <col min="13558" max="13558" width="35.140625" style="502" customWidth="1"/>
    <col min="13559" max="13559" width="3" style="502" customWidth="1"/>
    <col min="13560" max="13560" width="15.7109375" style="502" customWidth="1"/>
    <col min="13561" max="13569" width="0" style="502" hidden="1" customWidth="1"/>
    <col min="13570" max="13570" width="12.7109375" style="502" customWidth="1"/>
    <col min="13571" max="13572" width="0" style="502" hidden="1" customWidth="1"/>
    <col min="13573" max="13574" width="15.7109375" style="502" customWidth="1"/>
    <col min="13575" max="13583" width="0" style="502" hidden="1" customWidth="1"/>
    <col min="13584" max="13584" width="15.7109375" style="502" customWidth="1"/>
    <col min="13585" max="13586" width="0" style="502" hidden="1" customWidth="1"/>
    <col min="13587" max="13587" width="15.7109375" style="502" customWidth="1"/>
    <col min="13588" max="13588" width="2" style="502" customWidth="1"/>
    <col min="13589" max="13589" width="1.7109375" style="502" customWidth="1"/>
    <col min="13590" max="13590" width="19.85546875" style="502" bestFit="1" customWidth="1"/>
    <col min="13591" max="13591" width="0" style="502" hidden="1" customWidth="1"/>
    <col min="13592" max="13592" width="12.5703125" style="502" customWidth="1"/>
    <col min="13593" max="13810" width="8.85546875" style="502"/>
    <col min="13811" max="13812" width="0.85546875" style="502" customWidth="1"/>
    <col min="13813" max="13813" width="2.7109375" style="502" customWidth="1"/>
    <col min="13814" max="13814" width="35.140625" style="502" customWidth="1"/>
    <col min="13815" max="13815" width="3" style="502" customWidth="1"/>
    <col min="13816" max="13816" width="15.7109375" style="502" customWidth="1"/>
    <col min="13817" max="13825" width="0" style="502" hidden="1" customWidth="1"/>
    <col min="13826" max="13826" width="12.7109375" style="502" customWidth="1"/>
    <col min="13827" max="13828" width="0" style="502" hidden="1" customWidth="1"/>
    <col min="13829" max="13830" width="15.7109375" style="502" customWidth="1"/>
    <col min="13831" max="13839" width="0" style="502" hidden="1" customWidth="1"/>
    <col min="13840" max="13840" width="15.7109375" style="502" customWidth="1"/>
    <col min="13841" max="13842" width="0" style="502" hidden="1" customWidth="1"/>
    <col min="13843" max="13843" width="15.7109375" style="502" customWidth="1"/>
    <col min="13844" max="13844" width="2" style="502" customWidth="1"/>
    <col min="13845" max="13845" width="1.7109375" style="502" customWidth="1"/>
    <col min="13846" max="13846" width="19.85546875" style="502" bestFit="1" customWidth="1"/>
    <col min="13847" max="13847" width="0" style="502" hidden="1" customWidth="1"/>
    <col min="13848" max="13848" width="12.5703125" style="502" customWidth="1"/>
    <col min="13849" max="14066" width="8.85546875" style="502"/>
    <col min="14067" max="14068" width="0.85546875" style="502" customWidth="1"/>
    <col min="14069" max="14069" width="2.7109375" style="502" customWidth="1"/>
    <col min="14070" max="14070" width="35.140625" style="502" customWidth="1"/>
    <col min="14071" max="14071" width="3" style="502" customWidth="1"/>
    <col min="14072" max="14072" width="15.7109375" style="502" customWidth="1"/>
    <col min="14073" max="14081" width="0" style="502" hidden="1" customWidth="1"/>
    <col min="14082" max="14082" width="12.7109375" style="502" customWidth="1"/>
    <col min="14083" max="14084" width="0" style="502" hidden="1" customWidth="1"/>
    <col min="14085" max="14086" width="15.7109375" style="502" customWidth="1"/>
    <col min="14087" max="14095" width="0" style="502" hidden="1" customWidth="1"/>
    <col min="14096" max="14096" width="15.7109375" style="502" customWidth="1"/>
    <col min="14097" max="14098" width="0" style="502" hidden="1" customWidth="1"/>
    <col min="14099" max="14099" width="15.7109375" style="502" customWidth="1"/>
    <col min="14100" max="14100" width="2" style="502" customWidth="1"/>
    <col min="14101" max="14101" width="1.7109375" style="502" customWidth="1"/>
    <col min="14102" max="14102" width="19.85546875" style="502" bestFit="1" customWidth="1"/>
    <col min="14103" max="14103" width="0" style="502" hidden="1" customWidth="1"/>
    <col min="14104" max="14104" width="12.5703125" style="502" customWidth="1"/>
    <col min="14105" max="14322" width="8.85546875" style="502"/>
    <col min="14323" max="14324" width="0.85546875" style="502" customWidth="1"/>
    <col min="14325" max="14325" width="2.7109375" style="502" customWidth="1"/>
    <col min="14326" max="14326" width="35.140625" style="502" customWidth="1"/>
    <col min="14327" max="14327" width="3" style="502" customWidth="1"/>
    <col min="14328" max="14328" width="15.7109375" style="502" customWidth="1"/>
    <col min="14329" max="14337" width="0" style="502" hidden="1" customWidth="1"/>
    <col min="14338" max="14338" width="12.7109375" style="502" customWidth="1"/>
    <col min="14339" max="14340" width="0" style="502" hidden="1" customWidth="1"/>
    <col min="14341" max="14342" width="15.7109375" style="502" customWidth="1"/>
    <col min="14343" max="14351" width="0" style="502" hidden="1" customWidth="1"/>
    <col min="14352" max="14352" width="15.7109375" style="502" customWidth="1"/>
    <col min="14353" max="14354" width="0" style="502" hidden="1" customWidth="1"/>
    <col min="14355" max="14355" width="15.7109375" style="502" customWidth="1"/>
    <col min="14356" max="14356" width="2" style="502" customWidth="1"/>
    <col min="14357" max="14357" width="1.7109375" style="502" customWidth="1"/>
    <col min="14358" max="14358" width="19.85546875" style="502" bestFit="1" customWidth="1"/>
    <col min="14359" max="14359" width="0" style="502" hidden="1" customWidth="1"/>
    <col min="14360" max="14360" width="12.5703125" style="502" customWidth="1"/>
    <col min="14361" max="14578" width="8.85546875" style="502"/>
    <col min="14579" max="14580" width="0.85546875" style="502" customWidth="1"/>
    <col min="14581" max="14581" width="2.7109375" style="502" customWidth="1"/>
    <col min="14582" max="14582" width="35.140625" style="502" customWidth="1"/>
    <col min="14583" max="14583" width="3" style="502" customWidth="1"/>
    <col min="14584" max="14584" width="15.7109375" style="502" customWidth="1"/>
    <col min="14585" max="14593" width="0" style="502" hidden="1" customWidth="1"/>
    <col min="14594" max="14594" width="12.7109375" style="502" customWidth="1"/>
    <col min="14595" max="14596" width="0" style="502" hidden="1" customWidth="1"/>
    <col min="14597" max="14598" width="15.7109375" style="502" customWidth="1"/>
    <col min="14599" max="14607" width="0" style="502" hidden="1" customWidth="1"/>
    <col min="14608" max="14608" width="15.7109375" style="502" customWidth="1"/>
    <col min="14609" max="14610" width="0" style="502" hidden="1" customWidth="1"/>
    <col min="14611" max="14611" width="15.7109375" style="502" customWidth="1"/>
    <col min="14612" max="14612" width="2" style="502" customWidth="1"/>
    <col min="14613" max="14613" width="1.7109375" style="502" customWidth="1"/>
    <col min="14614" max="14614" width="19.85546875" style="502" bestFit="1" customWidth="1"/>
    <col min="14615" max="14615" width="0" style="502" hidden="1" customWidth="1"/>
    <col min="14616" max="14616" width="12.5703125" style="502" customWidth="1"/>
    <col min="14617" max="14834" width="8.85546875" style="502"/>
    <col min="14835" max="14836" width="0.85546875" style="502" customWidth="1"/>
    <col min="14837" max="14837" width="2.7109375" style="502" customWidth="1"/>
    <col min="14838" max="14838" width="35.140625" style="502" customWidth="1"/>
    <col min="14839" max="14839" width="3" style="502" customWidth="1"/>
    <col min="14840" max="14840" width="15.7109375" style="502" customWidth="1"/>
    <col min="14841" max="14849" width="0" style="502" hidden="1" customWidth="1"/>
    <col min="14850" max="14850" width="12.7109375" style="502" customWidth="1"/>
    <col min="14851" max="14852" width="0" style="502" hidden="1" customWidth="1"/>
    <col min="14853" max="14854" width="15.7109375" style="502" customWidth="1"/>
    <col min="14855" max="14863" width="0" style="502" hidden="1" customWidth="1"/>
    <col min="14864" max="14864" width="15.7109375" style="502" customWidth="1"/>
    <col min="14865" max="14866" width="0" style="502" hidden="1" customWidth="1"/>
    <col min="14867" max="14867" width="15.7109375" style="502" customWidth="1"/>
    <col min="14868" max="14868" width="2" style="502" customWidth="1"/>
    <col min="14869" max="14869" width="1.7109375" style="502" customWidth="1"/>
    <col min="14870" max="14870" width="19.85546875" style="502" bestFit="1" customWidth="1"/>
    <col min="14871" max="14871" width="0" style="502" hidden="1" customWidth="1"/>
    <col min="14872" max="14872" width="12.5703125" style="502" customWidth="1"/>
    <col min="14873" max="15090" width="8.85546875" style="502"/>
    <col min="15091" max="15092" width="0.85546875" style="502" customWidth="1"/>
    <col min="15093" max="15093" width="2.7109375" style="502" customWidth="1"/>
    <col min="15094" max="15094" width="35.140625" style="502" customWidth="1"/>
    <col min="15095" max="15095" width="3" style="502" customWidth="1"/>
    <col min="15096" max="15096" width="15.7109375" style="502" customWidth="1"/>
    <col min="15097" max="15105" width="0" style="502" hidden="1" customWidth="1"/>
    <col min="15106" max="15106" width="12.7109375" style="502" customWidth="1"/>
    <col min="15107" max="15108" width="0" style="502" hidden="1" customWidth="1"/>
    <col min="15109" max="15110" width="15.7109375" style="502" customWidth="1"/>
    <col min="15111" max="15119" width="0" style="502" hidden="1" customWidth="1"/>
    <col min="15120" max="15120" width="15.7109375" style="502" customWidth="1"/>
    <col min="15121" max="15122" width="0" style="502" hidden="1" customWidth="1"/>
    <col min="15123" max="15123" width="15.7109375" style="502" customWidth="1"/>
    <col min="15124" max="15124" width="2" style="502" customWidth="1"/>
    <col min="15125" max="15125" width="1.7109375" style="502" customWidth="1"/>
    <col min="15126" max="15126" width="19.85546875" style="502" bestFit="1" customWidth="1"/>
    <col min="15127" max="15127" width="0" style="502" hidden="1" customWidth="1"/>
    <col min="15128" max="15128" width="12.5703125" style="502" customWidth="1"/>
    <col min="15129" max="15346" width="8.85546875" style="502"/>
    <col min="15347" max="15348" width="0.85546875" style="502" customWidth="1"/>
    <col min="15349" max="15349" width="2.7109375" style="502" customWidth="1"/>
    <col min="15350" max="15350" width="35.140625" style="502" customWidth="1"/>
    <col min="15351" max="15351" width="3" style="502" customWidth="1"/>
    <col min="15352" max="15352" width="15.7109375" style="502" customWidth="1"/>
    <col min="15353" max="15361" width="0" style="502" hidden="1" customWidth="1"/>
    <col min="15362" max="15362" width="12.7109375" style="502" customWidth="1"/>
    <col min="15363" max="15364" width="0" style="502" hidden="1" customWidth="1"/>
    <col min="15365" max="15366" width="15.7109375" style="502" customWidth="1"/>
    <col min="15367" max="15375" width="0" style="502" hidden="1" customWidth="1"/>
    <col min="15376" max="15376" width="15.7109375" style="502" customWidth="1"/>
    <col min="15377" max="15378" width="0" style="502" hidden="1" customWidth="1"/>
    <col min="15379" max="15379" width="15.7109375" style="502" customWidth="1"/>
    <col min="15380" max="15380" width="2" style="502" customWidth="1"/>
    <col min="15381" max="15381" width="1.7109375" style="502" customWidth="1"/>
    <col min="15382" max="15382" width="19.85546875" style="502" bestFit="1" customWidth="1"/>
    <col min="15383" max="15383" width="0" style="502" hidden="1" customWidth="1"/>
    <col min="15384" max="15384" width="12.5703125" style="502" customWidth="1"/>
    <col min="15385" max="15602" width="8.85546875" style="502"/>
    <col min="15603" max="15604" width="0.85546875" style="502" customWidth="1"/>
    <col min="15605" max="15605" width="2.7109375" style="502" customWidth="1"/>
    <col min="15606" max="15606" width="35.140625" style="502" customWidth="1"/>
    <col min="15607" max="15607" width="3" style="502" customWidth="1"/>
    <col min="15608" max="15608" width="15.7109375" style="502" customWidth="1"/>
    <col min="15609" max="15617" width="0" style="502" hidden="1" customWidth="1"/>
    <col min="15618" max="15618" width="12.7109375" style="502" customWidth="1"/>
    <col min="15619" max="15620" width="0" style="502" hidden="1" customWidth="1"/>
    <col min="15621" max="15622" width="15.7109375" style="502" customWidth="1"/>
    <col min="15623" max="15631" width="0" style="502" hidden="1" customWidth="1"/>
    <col min="15632" max="15632" width="15.7109375" style="502" customWidth="1"/>
    <col min="15633" max="15634" width="0" style="502" hidden="1" customWidth="1"/>
    <col min="15635" max="15635" width="15.7109375" style="502" customWidth="1"/>
    <col min="15636" max="15636" width="2" style="502" customWidth="1"/>
    <col min="15637" max="15637" width="1.7109375" style="502" customWidth="1"/>
    <col min="15638" max="15638" width="19.85546875" style="502" bestFit="1" customWidth="1"/>
    <col min="15639" max="15639" width="0" style="502" hidden="1" customWidth="1"/>
    <col min="15640" max="15640" width="12.5703125" style="502" customWidth="1"/>
    <col min="15641" max="15858" width="8.85546875" style="502"/>
    <col min="15859" max="15860" width="0.85546875" style="502" customWidth="1"/>
    <col min="15861" max="15861" width="2.7109375" style="502" customWidth="1"/>
    <col min="15862" max="15862" width="35.140625" style="502" customWidth="1"/>
    <col min="15863" max="15863" width="3" style="502" customWidth="1"/>
    <col min="15864" max="15864" width="15.7109375" style="502" customWidth="1"/>
    <col min="15865" max="15873" width="0" style="502" hidden="1" customWidth="1"/>
    <col min="15874" max="15874" width="12.7109375" style="502" customWidth="1"/>
    <col min="15875" max="15876" width="0" style="502" hidden="1" customWidth="1"/>
    <col min="15877" max="15878" width="15.7109375" style="502" customWidth="1"/>
    <col min="15879" max="15887" width="0" style="502" hidden="1" customWidth="1"/>
    <col min="15888" max="15888" width="15.7109375" style="502" customWidth="1"/>
    <col min="15889" max="15890" width="0" style="502" hidden="1" customWidth="1"/>
    <col min="15891" max="15891" width="15.7109375" style="502" customWidth="1"/>
    <col min="15892" max="15892" width="2" style="502" customWidth="1"/>
    <col min="15893" max="15893" width="1.7109375" style="502" customWidth="1"/>
    <col min="15894" max="15894" width="19.85546875" style="502" bestFit="1" customWidth="1"/>
    <col min="15895" max="15895" width="0" style="502" hidden="1" customWidth="1"/>
    <col min="15896" max="15896" width="12.5703125" style="502" customWidth="1"/>
    <col min="15897" max="16114" width="8.85546875" style="502"/>
    <col min="16115" max="16116" width="0.85546875" style="502" customWidth="1"/>
    <col min="16117" max="16117" width="2.7109375" style="502" customWidth="1"/>
    <col min="16118" max="16118" width="35.140625" style="502" customWidth="1"/>
    <col min="16119" max="16119" width="3" style="502" customWidth="1"/>
    <col min="16120" max="16120" width="15.7109375" style="502" customWidth="1"/>
    <col min="16121" max="16129" width="0" style="502" hidden="1" customWidth="1"/>
    <col min="16130" max="16130" width="12.7109375" style="502" customWidth="1"/>
    <col min="16131" max="16132" width="0" style="502" hidden="1" customWidth="1"/>
    <col min="16133" max="16134" width="15.7109375" style="502" customWidth="1"/>
    <col min="16135" max="16143" width="0" style="502" hidden="1" customWidth="1"/>
    <col min="16144" max="16144" width="15.7109375" style="502" customWidth="1"/>
    <col min="16145" max="16146" width="0" style="502" hidden="1" customWidth="1"/>
    <col min="16147" max="16147" width="15.7109375" style="502" customWidth="1"/>
    <col min="16148" max="16148" width="2" style="502" customWidth="1"/>
    <col min="16149" max="16149" width="1.7109375" style="502" customWidth="1"/>
    <col min="16150" max="16150" width="19.85546875" style="502" bestFit="1" customWidth="1"/>
    <col min="16151" max="16151" width="0" style="502" hidden="1" customWidth="1"/>
    <col min="16152" max="16152" width="12.5703125" style="502" customWidth="1"/>
    <col min="16153" max="16384" width="8.85546875" style="502"/>
  </cols>
  <sheetData>
    <row r="1" spans="3:23" ht="15.75" x14ac:dyDescent="0.25">
      <c r="C1" s="503" t="s">
        <v>558</v>
      </c>
      <c r="D1" s="504"/>
      <c r="F1" s="504"/>
      <c r="G1" s="504"/>
      <c r="H1" s="504"/>
      <c r="I1" s="504"/>
      <c r="J1" s="504"/>
      <c r="K1" s="504"/>
      <c r="L1" s="504"/>
      <c r="M1" s="504"/>
      <c r="N1" s="504"/>
      <c r="O1" s="504"/>
      <c r="P1" s="504"/>
      <c r="Q1" s="504"/>
      <c r="R1" s="504"/>
      <c r="S1" s="504"/>
    </row>
    <row r="2" spans="3:23" x14ac:dyDescent="0.2">
      <c r="C2" s="177"/>
      <c r="D2" s="453"/>
      <c r="E2" s="454"/>
      <c r="F2" s="595" t="s">
        <v>1</v>
      </c>
      <c r="G2" s="636"/>
      <c r="H2" s="636"/>
      <c r="I2" s="636"/>
      <c r="J2" s="636"/>
      <c r="K2" s="636"/>
      <c r="L2" s="636"/>
      <c r="M2" s="636"/>
      <c r="N2" s="636"/>
      <c r="O2" s="636"/>
      <c r="P2" s="636"/>
      <c r="Q2" s="636"/>
      <c r="R2" s="636"/>
      <c r="S2" s="637"/>
      <c r="T2" s="505"/>
    </row>
    <row r="3" spans="3:23" x14ac:dyDescent="0.2">
      <c r="C3" s="173"/>
      <c r="D3" s="182"/>
      <c r="E3" s="188"/>
      <c r="F3" s="506" t="s">
        <v>3</v>
      </c>
      <c r="G3" s="189" t="s">
        <v>4</v>
      </c>
      <c r="H3" s="200" t="s">
        <v>5</v>
      </c>
      <c r="I3" s="189" t="s">
        <v>6</v>
      </c>
      <c r="J3" s="200" t="s">
        <v>7</v>
      </c>
      <c r="K3" s="189" t="s">
        <v>8</v>
      </c>
      <c r="L3" s="200" t="s">
        <v>9</v>
      </c>
      <c r="M3" s="189" t="s">
        <v>10</v>
      </c>
      <c r="N3" s="200" t="s">
        <v>11</v>
      </c>
      <c r="O3" s="189" t="s">
        <v>12</v>
      </c>
      <c r="P3" s="200" t="s">
        <v>13</v>
      </c>
      <c r="Q3" s="189" t="s">
        <v>14</v>
      </c>
      <c r="R3" s="200" t="s">
        <v>15</v>
      </c>
      <c r="S3" s="200" t="s">
        <v>16</v>
      </c>
      <c r="T3" s="505"/>
    </row>
    <row r="4" spans="3:23" x14ac:dyDescent="0.2">
      <c r="C4" s="455" t="s">
        <v>17</v>
      </c>
      <c r="D4" s="395"/>
      <c r="E4" s="196"/>
      <c r="F4" s="456" t="s">
        <v>18</v>
      </c>
      <c r="G4" s="197"/>
      <c r="H4" s="88"/>
      <c r="I4" s="197"/>
      <c r="J4" s="88"/>
      <c r="K4" s="197"/>
      <c r="L4" s="88"/>
      <c r="M4" s="197"/>
      <c r="N4" s="88"/>
      <c r="O4" s="197"/>
      <c r="P4" s="88"/>
      <c r="Q4" s="197"/>
      <c r="R4" s="88"/>
      <c r="S4" s="88"/>
      <c r="T4" s="505"/>
    </row>
    <row r="5" spans="3:23" x14ac:dyDescent="0.2">
      <c r="C5" s="173"/>
      <c r="D5" s="507"/>
      <c r="E5" s="188"/>
      <c r="F5" s="201"/>
      <c r="G5" s="201"/>
      <c r="H5" s="172"/>
      <c r="I5" s="201"/>
      <c r="J5" s="188"/>
      <c r="K5" s="201"/>
      <c r="L5" s="188"/>
      <c r="M5" s="201"/>
      <c r="N5" s="188"/>
      <c r="O5" s="201"/>
      <c r="P5" s="188"/>
      <c r="Q5" s="201"/>
      <c r="R5" s="188"/>
      <c r="S5" s="53"/>
      <c r="T5" s="505"/>
    </row>
    <row r="6" spans="3:23" x14ac:dyDescent="0.2">
      <c r="C6" s="199" t="s">
        <v>559</v>
      </c>
      <c r="D6" s="182"/>
      <c r="E6" s="460"/>
      <c r="F6" s="53">
        <f>SUM(F7:F38)</f>
        <v>23829037</v>
      </c>
      <c r="G6" s="53">
        <f>SUM(G7:G38)</f>
        <v>1236489</v>
      </c>
      <c r="H6" s="53">
        <f t="shared" ref="H6:R6" si="0">SUM(H7:H38)</f>
        <v>2807140</v>
      </c>
      <c r="I6" s="53">
        <f>SUM(I7:I38)</f>
        <v>3319954</v>
      </c>
      <c r="J6" s="53">
        <f>SUM(J7:J38)</f>
        <v>3550323</v>
      </c>
      <c r="K6" s="53">
        <f t="shared" si="0"/>
        <v>3161507</v>
      </c>
      <c r="L6" s="53">
        <f>SUM(L7:L38)</f>
        <v>1941577</v>
      </c>
      <c r="M6" s="53">
        <f t="shared" si="0"/>
        <v>2581412</v>
      </c>
      <c r="N6" s="53">
        <f t="shared" si="0"/>
        <v>900558</v>
      </c>
      <c r="O6" s="53">
        <f>SUM(O7:O38)</f>
        <v>2698953</v>
      </c>
      <c r="P6" s="53">
        <f>SUM(P7:P38)</f>
        <v>1360720</v>
      </c>
      <c r="Q6" s="53">
        <f t="shared" si="0"/>
        <v>0</v>
      </c>
      <c r="R6" s="53">
        <f t="shared" si="0"/>
        <v>0</v>
      </c>
      <c r="S6" s="53">
        <f t="shared" ref="S6" si="1">SUM(S7:S38)</f>
        <v>23558633</v>
      </c>
      <c r="T6" s="508"/>
      <c r="V6" s="509"/>
      <c r="W6" s="509"/>
    </row>
    <row r="7" spans="3:23" ht="12" hidden="1" customHeight="1" x14ac:dyDescent="0.2">
      <c r="C7" s="199"/>
      <c r="D7" s="180" t="s">
        <v>560</v>
      </c>
      <c r="E7" s="470"/>
      <c r="F7" s="39">
        <v>0</v>
      </c>
      <c r="G7" s="39">
        <v>0</v>
      </c>
      <c r="H7" s="39">
        <v>0</v>
      </c>
      <c r="I7" s="39">
        <v>0</v>
      </c>
      <c r="J7" s="39">
        <v>0</v>
      </c>
      <c r="K7" s="39">
        <v>0</v>
      </c>
      <c r="L7" s="39">
        <v>0</v>
      </c>
      <c r="M7" s="39">
        <v>0</v>
      </c>
      <c r="N7" s="39">
        <v>0</v>
      </c>
      <c r="O7" s="39">
        <v>0</v>
      </c>
      <c r="P7" s="39">
        <v>0</v>
      </c>
      <c r="Q7" s="39">
        <v>0</v>
      </c>
      <c r="R7" s="39">
        <v>0</v>
      </c>
      <c r="S7" s="384">
        <f>SUM(G7:R7)</f>
        <v>0</v>
      </c>
      <c r="T7" s="510"/>
      <c r="V7" s="509"/>
      <c r="W7" s="509"/>
    </row>
    <row r="8" spans="3:23" ht="12.75" hidden="1" customHeight="1" x14ac:dyDescent="0.2">
      <c r="C8" s="199"/>
      <c r="D8" s="180" t="s">
        <v>561</v>
      </c>
      <c r="E8" s="470"/>
      <c r="F8" s="39">
        <v>0</v>
      </c>
      <c r="G8" s="39">
        <v>0</v>
      </c>
      <c r="H8" s="39">
        <v>0</v>
      </c>
      <c r="I8" s="39">
        <v>0</v>
      </c>
      <c r="J8" s="39">
        <v>0</v>
      </c>
      <c r="K8" s="39">
        <v>0</v>
      </c>
      <c r="L8" s="39">
        <v>0</v>
      </c>
      <c r="M8" s="39">
        <v>0</v>
      </c>
      <c r="N8" s="39">
        <v>0</v>
      </c>
      <c r="O8" s="39">
        <v>0</v>
      </c>
      <c r="P8" s="39">
        <v>0</v>
      </c>
      <c r="Q8" s="39">
        <v>0</v>
      </c>
      <c r="R8" s="39">
        <v>0</v>
      </c>
      <c r="S8" s="384">
        <f t="shared" ref="S8:S34" si="2">SUM(G8:R8)</f>
        <v>0</v>
      </c>
      <c r="T8" s="510"/>
      <c r="V8" s="509"/>
      <c r="W8" s="509"/>
    </row>
    <row r="9" spans="3:23" ht="12.75" hidden="1" customHeight="1" x14ac:dyDescent="0.2">
      <c r="C9" s="199"/>
      <c r="D9" s="180" t="s">
        <v>562</v>
      </c>
      <c r="E9" s="470"/>
      <c r="F9" s="39">
        <v>0</v>
      </c>
      <c r="G9" s="39">
        <v>0</v>
      </c>
      <c r="H9" s="39">
        <v>0</v>
      </c>
      <c r="I9" s="39">
        <v>0</v>
      </c>
      <c r="J9" s="39">
        <v>0</v>
      </c>
      <c r="K9" s="39">
        <v>0</v>
      </c>
      <c r="L9" s="39">
        <v>0</v>
      </c>
      <c r="M9" s="39">
        <v>0</v>
      </c>
      <c r="N9" s="39">
        <v>0</v>
      </c>
      <c r="O9" s="39">
        <v>0</v>
      </c>
      <c r="P9" s="39">
        <v>0</v>
      </c>
      <c r="Q9" s="39">
        <v>0</v>
      </c>
      <c r="R9" s="39">
        <v>0</v>
      </c>
      <c r="S9" s="384">
        <f t="shared" si="2"/>
        <v>0</v>
      </c>
      <c r="T9" s="510"/>
      <c r="V9" s="509"/>
      <c r="W9" s="509"/>
    </row>
    <row r="10" spans="3:23" ht="12.75" hidden="1" customHeight="1" x14ac:dyDescent="0.2">
      <c r="C10" s="199"/>
      <c r="D10" s="180" t="s">
        <v>563</v>
      </c>
      <c r="E10" s="449"/>
      <c r="F10" s="39">
        <v>0</v>
      </c>
      <c r="G10" s="39">
        <v>0</v>
      </c>
      <c r="H10" s="39">
        <v>0</v>
      </c>
      <c r="I10" s="39">
        <v>0</v>
      </c>
      <c r="J10" s="39">
        <v>0</v>
      </c>
      <c r="K10" s="39">
        <v>0</v>
      </c>
      <c r="L10" s="39">
        <v>0</v>
      </c>
      <c r="M10" s="39">
        <v>0</v>
      </c>
      <c r="N10" s="39">
        <v>0</v>
      </c>
      <c r="O10" s="39">
        <v>0</v>
      </c>
      <c r="P10" s="39">
        <v>0</v>
      </c>
      <c r="Q10" s="39">
        <v>0</v>
      </c>
      <c r="R10" s="39">
        <v>0</v>
      </c>
      <c r="S10" s="384">
        <f>SUM(G10:R10)</f>
        <v>0</v>
      </c>
      <c r="T10" s="510"/>
      <c r="V10" s="509"/>
      <c r="W10" s="509"/>
    </row>
    <row r="11" spans="3:23" hidden="1" x14ac:dyDescent="0.2">
      <c r="C11" s="199"/>
      <c r="D11" s="180" t="s">
        <v>564</v>
      </c>
      <c r="E11" s="470"/>
      <c r="F11" s="39">
        <v>0</v>
      </c>
      <c r="G11" s="39">
        <v>0</v>
      </c>
      <c r="H11" s="39">
        <v>0</v>
      </c>
      <c r="I11" s="39">
        <v>0</v>
      </c>
      <c r="J11" s="39">
        <v>0</v>
      </c>
      <c r="K11" s="39">
        <v>0</v>
      </c>
      <c r="L11" s="39">
        <v>0</v>
      </c>
      <c r="M11" s="39">
        <v>0</v>
      </c>
      <c r="N11" s="39">
        <v>0</v>
      </c>
      <c r="O11" s="39">
        <v>0</v>
      </c>
      <c r="P11" s="39">
        <v>0</v>
      </c>
      <c r="Q11" s="39">
        <v>0</v>
      </c>
      <c r="R11" s="39">
        <v>0</v>
      </c>
      <c r="S11" s="384">
        <f>SUM(G11:R11)</f>
        <v>0</v>
      </c>
      <c r="T11" s="510"/>
      <c r="V11" s="509"/>
      <c r="W11" s="509"/>
    </row>
    <row r="12" spans="3:23" ht="12.75" hidden="1" customHeight="1" x14ac:dyDescent="0.2">
      <c r="C12" s="199"/>
      <c r="D12" s="180" t="s">
        <v>565</v>
      </c>
      <c r="E12" s="470"/>
      <c r="F12" s="39">
        <v>0</v>
      </c>
      <c r="G12" s="39">
        <v>0</v>
      </c>
      <c r="H12" s="39">
        <v>0</v>
      </c>
      <c r="I12" s="39">
        <v>0</v>
      </c>
      <c r="J12" s="39">
        <v>0</v>
      </c>
      <c r="K12" s="39">
        <v>0</v>
      </c>
      <c r="L12" s="39">
        <v>0</v>
      </c>
      <c r="M12" s="39">
        <v>0</v>
      </c>
      <c r="N12" s="39">
        <v>0</v>
      </c>
      <c r="O12" s="39">
        <v>0</v>
      </c>
      <c r="P12" s="39">
        <v>0</v>
      </c>
      <c r="Q12" s="39">
        <v>0</v>
      </c>
      <c r="R12" s="39">
        <v>0</v>
      </c>
      <c r="S12" s="384">
        <f t="shared" si="2"/>
        <v>0</v>
      </c>
      <c r="T12" s="510"/>
      <c r="V12" s="509"/>
      <c r="W12" s="509"/>
    </row>
    <row r="13" spans="3:23" ht="12.75" hidden="1" customHeight="1" x14ac:dyDescent="0.2">
      <c r="C13" s="199"/>
      <c r="D13" s="180" t="s">
        <v>566</v>
      </c>
      <c r="E13" s="470"/>
      <c r="F13" s="39">
        <v>0</v>
      </c>
      <c r="G13" s="384">
        <v>0</v>
      </c>
      <c r="H13" s="384">
        <v>0</v>
      </c>
      <c r="I13" s="384">
        <v>0</v>
      </c>
      <c r="J13" s="384">
        <v>0</v>
      </c>
      <c r="K13" s="384">
        <v>0</v>
      </c>
      <c r="L13" s="384">
        <v>0</v>
      </c>
      <c r="M13" s="384">
        <v>0</v>
      </c>
      <c r="N13" s="384">
        <v>0</v>
      </c>
      <c r="O13" s="384">
        <v>0</v>
      </c>
      <c r="P13" s="384">
        <v>0</v>
      </c>
      <c r="Q13" s="384">
        <v>0</v>
      </c>
      <c r="R13" s="384">
        <v>0</v>
      </c>
      <c r="S13" s="384">
        <f t="shared" si="2"/>
        <v>0</v>
      </c>
      <c r="T13" s="510"/>
      <c r="V13" s="509"/>
      <c r="W13" s="509"/>
    </row>
    <row r="14" spans="3:23" ht="12.75" hidden="1" customHeight="1" x14ac:dyDescent="0.2">
      <c r="C14" s="199"/>
      <c r="D14" s="180" t="s">
        <v>567</v>
      </c>
      <c r="E14" s="470"/>
      <c r="F14" s="39">
        <v>0</v>
      </c>
      <c r="G14" s="39">
        <v>0</v>
      </c>
      <c r="H14" s="39">
        <v>0</v>
      </c>
      <c r="I14" s="39">
        <v>0</v>
      </c>
      <c r="J14" s="39">
        <v>0</v>
      </c>
      <c r="K14" s="39">
        <v>0</v>
      </c>
      <c r="L14" s="39">
        <v>0</v>
      </c>
      <c r="M14" s="39">
        <v>0</v>
      </c>
      <c r="N14" s="39">
        <v>0</v>
      </c>
      <c r="O14" s="39">
        <v>0</v>
      </c>
      <c r="P14" s="39">
        <v>0</v>
      </c>
      <c r="Q14" s="39">
        <v>0</v>
      </c>
      <c r="R14" s="39">
        <v>0</v>
      </c>
      <c r="S14" s="384">
        <f t="shared" si="2"/>
        <v>0</v>
      </c>
      <c r="T14" s="510"/>
      <c r="V14" s="509"/>
      <c r="W14" s="509"/>
    </row>
    <row r="15" spans="3:23" ht="12.75" hidden="1" customHeight="1" x14ac:dyDescent="0.2">
      <c r="C15" s="199"/>
      <c r="D15" s="180" t="s">
        <v>568</v>
      </c>
      <c r="E15" s="470"/>
      <c r="F15" s="39">
        <v>0</v>
      </c>
      <c r="G15" s="39">
        <v>0</v>
      </c>
      <c r="H15" s="39">
        <v>0</v>
      </c>
      <c r="I15" s="39">
        <v>0</v>
      </c>
      <c r="J15" s="39">
        <v>0</v>
      </c>
      <c r="K15" s="39">
        <v>0</v>
      </c>
      <c r="L15" s="39">
        <v>0</v>
      </c>
      <c r="M15" s="39">
        <v>0</v>
      </c>
      <c r="N15" s="39">
        <v>0</v>
      </c>
      <c r="O15" s="39">
        <v>0</v>
      </c>
      <c r="P15" s="39">
        <v>0</v>
      </c>
      <c r="Q15" s="39">
        <v>0</v>
      </c>
      <c r="R15" s="39">
        <v>0</v>
      </c>
      <c r="S15" s="384">
        <f t="shared" si="2"/>
        <v>0</v>
      </c>
      <c r="T15" s="510"/>
      <c r="V15" s="509"/>
      <c r="W15" s="509"/>
    </row>
    <row r="16" spans="3:23" ht="12.75" hidden="1" customHeight="1" x14ac:dyDescent="0.2">
      <c r="C16" s="199"/>
      <c r="D16" s="180" t="s">
        <v>569</v>
      </c>
      <c r="E16" s="470"/>
      <c r="F16" s="39">
        <v>0</v>
      </c>
      <c r="G16" s="384">
        <v>0</v>
      </c>
      <c r="H16" s="384">
        <v>0</v>
      </c>
      <c r="I16" s="384">
        <v>0</v>
      </c>
      <c r="J16" s="384">
        <v>0</v>
      </c>
      <c r="K16" s="384">
        <v>0</v>
      </c>
      <c r="L16" s="384">
        <v>0</v>
      </c>
      <c r="M16" s="384">
        <v>0</v>
      </c>
      <c r="N16" s="384">
        <v>0</v>
      </c>
      <c r="O16" s="384">
        <v>0</v>
      </c>
      <c r="P16" s="384">
        <v>0</v>
      </c>
      <c r="Q16" s="384">
        <v>0</v>
      </c>
      <c r="R16" s="384">
        <v>0</v>
      </c>
      <c r="S16" s="384">
        <f t="shared" si="2"/>
        <v>0</v>
      </c>
      <c r="T16" s="510"/>
      <c r="V16" s="509"/>
      <c r="W16" s="509"/>
    </row>
    <row r="17" spans="3:23" ht="12.75" hidden="1" customHeight="1" x14ac:dyDescent="0.2">
      <c r="C17" s="199"/>
      <c r="D17" s="180" t="s">
        <v>570</v>
      </c>
      <c r="E17" s="470"/>
      <c r="F17" s="39">
        <v>0</v>
      </c>
      <c r="G17" s="39">
        <v>0</v>
      </c>
      <c r="H17" s="39">
        <v>0</v>
      </c>
      <c r="I17" s="39">
        <v>0</v>
      </c>
      <c r="J17" s="39">
        <v>0</v>
      </c>
      <c r="K17" s="39">
        <v>0</v>
      </c>
      <c r="L17" s="39">
        <v>0</v>
      </c>
      <c r="M17" s="39">
        <v>0</v>
      </c>
      <c r="N17" s="39">
        <v>0</v>
      </c>
      <c r="O17" s="39">
        <v>0</v>
      </c>
      <c r="P17" s="39">
        <v>0</v>
      </c>
      <c r="Q17" s="39">
        <v>0</v>
      </c>
      <c r="R17" s="39">
        <v>0</v>
      </c>
      <c r="S17" s="384">
        <f t="shared" si="2"/>
        <v>0</v>
      </c>
      <c r="T17" s="510"/>
      <c r="V17" s="509"/>
      <c r="W17" s="509"/>
    </row>
    <row r="18" spans="3:23" x14ac:dyDescent="0.2">
      <c r="C18" s="199"/>
      <c r="D18" s="180" t="s">
        <v>571</v>
      </c>
      <c r="E18" s="470"/>
      <c r="F18" s="511">
        <v>1037</v>
      </c>
      <c r="G18" s="511">
        <v>316</v>
      </c>
      <c r="H18" s="511">
        <v>168</v>
      </c>
      <c r="I18" s="511">
        <v>91</v>
      </c>
      <c r="J18" s="511">
        <v>138</v>
      </c>
      <c r="K18" s="511">
        <v>118</v>
      </c>
      <c r="L18" s="511">
        <v>206</v>
      </c>
      <c r="M18" s="511">
        <v>157</v>
      </c>
      <c r="N18" s="511">
        <v>179</v>
      </c>
      <c r="O18" s="511">
        <v>280</v>
      </c>
      <c r="P18" s="511">
        <v>77</v>
      </c>
      <c r="Q18" s="511">
        <v>0</v>
      </c>
      <c r="R18" s="511">
        <v>0</v>
      </c>
      <c r="S18" s="384">
        <f>SUM(G18:R18)</f>
        <v>1730</v>
      </c>
      <c r="T18" s="510"/>
      <c r="V18" s="509"/>
      <c r="W18" s="509"/>
    </row>
    <row r="19" spans="3:23" ht="12.75" hidden="1" customHeight="1" x14ac:dyDescent="0.2">
      <c r="C19" s="199"/>
      <c r="D19" s="180" t="s">
        <v>572</v>
      </c>
      <c r="E19" s="470"/>
      <c r="F19" s="511">
        <v>0</v>
      </c>
      <c r="G19" s="511">
        <v>0</v>
      </c>
      <c r="H19" s="511">
        <v>0</v>
      </c>
      <c r="I19" s="511">
        <v>0</v>
      </c>
      <c r="J19" s="511">
        <v>0</v>
      </c>
      <c r="K19" s="511">
        <v>0</v>
      </c>
      <c r="L19" s="511">
        <v>0</v>
      </c>
      <c r="M19" s="511">
        <v>0</v>
      </c>
      <c r="N19" s="511">
        <v>0</v>
      </c>
      <c r="O19" s="511">
        <v>0</v>
      </c>
      <c r="P19" s="511">
        <v>0</v>
      </c>
      <c r="Q19" s="511">
        <v>0</v>
      </c>
      <c r="R19" s="511">
        <v>0</v>
      </c>
      <c r="S19" s="384">
        <f t="shared" si="2"/>
        <v>0</v>
      </c>
      <c r="T19" s="510"/>
      <c r="V19" s="509"/>
      <c r="W19" s="509"/>
    </row>
    <row r="20" spans="3:23" ht="12.75" hidden="1" customHeight="1" x14ac:dyDescent="0.2">
      <c r="C20" s="199"/>
      <c r="D20" s="180" t="s">
        <v>573</v>
      </c>
      <c r="E20" s="470"/>
      <c r="F20" s="511">
        <v>0</v>
      </c>
      <c r="G20" s="511">
        <v>0</v>
      </c>
      <c r="H20" s="511">
        <v>0</v>
      </c>
      <c r="I20" s="511">
        <v>0</v>
      </c>
      <c r="J20" s="511">
        <v>0</v>
      </c>
      <c r="K20" s="511">
        <v>0</v>
      </c>
      <c r="L20" s="511">
        <v>0</v>
      </c>
      <c r="M20" s="511">
        <v>0</v>
      </c>
      <c r="N20" s="511">
        <v>0</v>
      </c>
      <c r="O20" s="511">
        <v>0</v>
      </c>
      <c r="P20" s="511">
        <v>0</v>
      </c>
      <c r="Q20" s="511">
        <v>0</v>
      </c>
      <c r="R20" s="511">
        <v>0</v>
      </c>
      <c r="S20" s="384">
        <f t="shared" si="2"/>
        <v>0</v>
      </c>
      <c r="T20" s="510"/>
      <c r="V20" s="509"/>
      <c r="W20" s="509"/>
    </row>
    <row r="21" spans="3:23" ht="12.75" customHeight="1" x14ac:dyDescent="0.2">
      <c r="C21" s="199"/>
      <c r="D21" s="180" t="s">
        <v>574</v>
      </c>
      <c r="E21" s="449"/>
      <c r="F21" s="511">
        <v>0</v>
      </c>
      <c r="G21" s="511">
        <v>0</v>
      </c>
      <c r="H21" s="511">
        <v>0</v>
      </c>
      <c r="I21" s="511">
        <v>0</v>
      </c>
      <c r="J21" s="511">
        <v>0</v>
      </c>
      <c r="K21" s="511">
        <v>0</v>
      </c>
      <c r="L21" s="511">
        <v>0</v>
      </c>
      <c r="M21" s="511">
        <v>0</v>
      </c>
      <c r="N21" s="511">
        <v>0</v>
      </c>
      <c r="O21" s="511">
        <v>0</v>
      </c>
      <c r="P21" s="511">
        <v>0</v>
      </c>
      <c r="Q21" s="511">
        <v>0</v>
      </c>
      <c r="R21" s="511">
        <v>0</v>
      </c>
      <c r="S21" s="384">
        <f>SUM(G21:R21)</f>
        <v>0</v>
      </c>
      <c r="T21" s="510"/>
      <c r="V21" s="509"/>
      <c r="W21" s="509"/>
    </row>
    <row r="22" spans="3:23" x14ac:dyDescent="0.2">
      <c r="C22" s="199"/>
      <c r="D22" s="180" t="s">
        <v>575</v>
      </c>
      <c r="E22" s="460"/>
      <c r="F22" s="511">
        <v>10102000</v>
      </c>
      <c r="G22" s="511">
        <v>376261</v>
      </c>
      <c r="H22" s="511">
        <v>1466990</v>
      </c>
      <c r="I22" s="511">
        <v>764417</v>
      </c>
      <c r="J22" s="511">
        <v>2780720</v>
      </c>
      <c r="K22" s="511">
        <v>1213553</v>
      </c>
      <c r="L22" s="511">
        <v>716835</v>
      </c>
      <c r="M22" s="511">
        <v>2010551</v>
      </c>
      <c r="N22" s="511">
        <v>777625</v>
      </c>
      <c r="O22" s="511">
        <v>2213621</v>
      </c>
      <c r="P22" s="511">
        <v>1216723</v>
      </c>
      <c r="Q22" s="511">
        <v>0</v>
      </c>
      <c r="R22" s="511">
        <v>0</v>
      </c>
      <c r="S22" s="384">
        <f>SUM(G22:R22)</f>
        <v>13537296</v>
      </c>
      <c r="T22" s="510"/>
      <c r="V22" s="512"/>
      <c r="W22" s="509"/>
    </row>
    <row r="23" spans="3:23" ht="12.75" hidden="1" customHeight="1" x14ac:dyDescent="0.2">
      <c r="C23" s="199"/>
      <c r="D23" s="180" t="s">
        <v>576</v>
      </c>
      <c r="E23" s="470"/>
      <c r="F23" s="511">
        <v>0</v>
      </c>
      <c r="G23" s="511">
        <v>0</v>
      </c>
      <c r="H23" s="511">
        <v>0</v>
      </c>
      <c r="I23" s="511">
        <v>0</v>
      </c>
      <c r="J23" s="511">
        <v>0</v>
      </c>
      <c r="K23" s="511">
        <v>0</v>
      </c>
      <c r="L23" s="511">
        <v>0</v>
      </c>
      <c r="M23" s="511">
        <v>0</v>
      </c>
      <c r="N23" s="511">
        <v>0</v>
      </c>
      <c r="O23" s="511">
        <v>0</v>
      </c>
      <c r="P23" s="511">
        <v>0</v>
      </c>
      <c r="Q23" s="511">
        <v>0</v>
      </c>
      <c r="R23" s="511">
        <v>0</v>
      </c>
      <c r="S23" s="384">
        <f>SUM(G23:R23)</f>
        <v>0</v>
      </c>
      <c r="T23" s="510"/>
      <c r="V23" s="509"/>
      <c r="W23" s="509"/>
    </row>
    <row r="24" spans="3:23" ht="12.75" hidden="1" customHeight="1" x14ac:dyDescent="0.2">
      <c r="C24" s="199"/>
      <c r="D24" s="180" t="s">
        <v>577</v>
      </c>
      <c r="E24" s="470"/>
      <c r="F24" s="511">
        <v>0</v>
      </c>
      <c r="G24" s="511">
        <v>0</v>
      </c>
      <c r="H24" s="511">
        <v>0</v>
      </c>
      <c r="I24" s="511">
        <v>0</v>
      </c>
      <c r="J24" s="511">
        <v>0</v>
      </c>
      <c r="K24" s="511">
        <v>0</v>
      </c>
      <c r="L24" s="511">
        <v>0</v>
      </c>
      <c r="M24" s="511">
        <v>0</v>
      </c>
      <c r="N24" s="511">
        <v>0</v>
      </c>
      <c r="O24" s="511">
        <v>0</v>
      </c>
      <c r="P24" s="511">
        <v>0</v>
      </c>
      <c r="Q24" s="511">
        <v>0</v>
      </c>
      <c r="R24" s="511">
        <v>0</v>
      </c>
      <c r="S24" s="384">
        <f t="shared" si="2"/>
        <v>0</v>
      </c>
      <c r="T24" s="510"/>
      <c r="V24" s="509"/>
      <c r="W24" s="509"/>
    </row>
    <row r="25" spans="3:23" ht="12.75" hidden="1" customHeight="1" x14ac:dyDescent="0.2">
      <c r="C25" s="199"/>
      <c r="D25" s="180" t="s">
        <v>578</v>
      </c>
      <c r="E25" s="470"/>
      <c r="F25" s="511">
        <v>0</v>
      </c>
      <c r="G25" s="511">
        <v>0</v>
      </c>
      <c r="H25" s="511">
        <v>0</v>
      </c>
      <c r="I25" s="511">
        <v>0</v>
      </c>
      <c r="J25" s="511">
        <v>0</v>
      </c>
      <c r="K25" s="511">
        <v>0</v>
      </c>
      <c r="L25" s="511">
        <v>0</v>
      </c>
      <c r="M25" s="511">
        <v>0</v>
      </c>
      <c r="N25" s="511">
        <v>0</v>
      </c>
      <c r="O25" s="511">
        <v>0</v>
      </c>
      <c r="P25" s="511">
        <v>0</v>
      </c>
      <c r="Q25" s="511">
        <v>0</v>
      </c>
      <c r="R25" s="511">
        <v>0</v>
      </c>
      <c r="S25" s="384">
        <f t="shared" si="2"/>
        <v>0</v>
      </c>
      <c r="T25" s="510"/>
      <c r="V25" s="509"/>
      <c r="W25" s="509"/>
    </row>
    <row r="26" spans="3:23" x14ac:dyDescent="0.2">
      <c r="C26" s="199"/>
      <c r="D26" s="180" t="s">
        <v>579</v>
      </c>
      <c r="E26" s="470"/>
      <c r="F26" s="511">
        <v>13726000</v>
      </c>
      <c r="G26" s="511">
        <v>859912</v>
      </c>
      <c r="H26" s="511">
        <v>1339982</v>
      </c>
      <c r="I26" s="511">
        <v>2555446</v>
      </c>
      <c r="J26" s="511">
        <v>769465</v>
      </c>
      <c r="K26" s="511">
        <v>1947836</v>
      </c>
      <c r="L26" s="511">
        <v>1224536</v>
      </c>
      <c r="M26" s="511">
        <v>570704</v>
      </c>
      <c r="N26" s="511">
        <v>122754</v>
      </c>
      <c r="O26" s="511">
        <v>485052</v>
      </c>
      <c r="P26" s="511">
        <v>143920</v>
      </c>
      <c r="Q26" s="511">
        <v>0</v>
      </c>
      <c r="R26" s="511">
        <v>0</v>
      </c>
      <c r="S26" s="384">
        <f>SUM(G26:R26)</f>
        <v>10019607</v>
      </c>
      <c r="T26" s="510"/>
      <c r="V26" s="512"/>
      <c r="W26" s="509"/>
    </row>
    <row r="27" spans="3:23" ht="12.75" hidden="1" customHeight="1" x14ac:dyDescent="0.2">
      <c r="C27" s="199"/>
      <c r="D27" s="180" t="s">
        <v>580</v>
      </c>
      <c r="E27" s="470"/>
      <c r="F27" s="511">
        <v>0</v>
      </c>
      <c r="G27" s="39">
        <v>0</v>
      </c>
      <c r="H27" s="39">
        <v>0</v>
      </c>
      <c r="I27" s="39">
        <v>0</v>
      </c>
      <c r="J27" s="39">
        <v>0</v>
      </c>
      <c r="K27" s="39">
        <v>0</v>
      </c>
      <c r="L27" s="39">
        <v>0</v>
      </c>
      <c r="M27" s="39">
        <v>0</v>
      </c>
      <c r="N27" s="39">
        <v>0</v>
      </c>
      <c r="O27" s="39">
        <v>0</v>
      </c>
      <c r="P27" s="39">
        <v>0</v>
      </c>
      <c r="Q27" s="39">
        <v>0</v>
      </c>
      <c r="R27" s="39">
        <v>0</v>
      </c>
      <c r="S27" s="384">
        <f t="shared" si="2"/>
        <v>0</v>
      </c>
      <c r="T27" s="510"/>
      <c r="V27" s="509"/>
      <c r="W27" s="509"/>
    </row>
    <row r="28" spans="3:23" ht="12.75" hidden="1" customHeight="1" x14ac:dyDescent="0.2">
      <c r="C28" s="199"/>
      <c r="D28" s="180" t="s">
        <v>581</v>
      </c>
      <c r="E28" s="449" t="s">
        <v>57</v>
      </c>
      <c r="F28" s="511">
        <v>0</v>
      </c>
      <c r="G28" s="39">
        <v>0</v>
      </c>
      <c r="H28" s="39">
        <v>0</v>
      </c>
      <c r="I28" s="39">
        <v>0</v>
      </c>
      <c r="J28" s="39">
        <v>0</v>
      </c>
      <c r="K28" s="39">
        <v>0</v>
      </c>
      <c r="L28" s="39">
        <v>0</v>
      </c>
      <c r="M28" s="39">
        <v>0</v>
      </c>
      <c r="N28" s="39">
        <v>0</v>
      </c>
      <c r="O28" s="39">
        <v>0</v>
      </c>
      <c r="P28" s="39">
        <v>0</v>
      </c>
      <c r="Q28" s="39">
        <v>0</v>
      </c>
      <c r="R28" s="39">
        <v>0</v>
      </c>
      <c r="S28" s="384">
        <f t="shared" si="2"/>
        <v>0</v>
      </c>
      <c r="T28" s="510"/>
      <c r="V28" s="509"/>
      <c r="W28" s="509"/>
    </row>
    <row r="29" spans="3:23" ht="12.75" hidden="1" customHeight="1" x14ac:dyDescent="0.2">
      <c r="C29" s="199"/>
      <c r="D29" s="180" t="s">
        <v>582</v>
      </c>
      <c r="E29" s="470"/>
      <c r="F29" s="511">
        <v>0</v>
      </c>
      <c r="G29" s="39">
        <v>0</v>
      </c>
      <c r="H29" s="39">
        <v>0</v>
      </c>
      <c r="I29" s="39">
        <v>0</v>
      </c>
      <c r="J29" s="39">
        <v>0</v>
      </c>
      <c r="K29" s="39">
        <v>0</v>
      </c>
      <c r="L29" s="39">
        <v>0</v>
      </c>
      <c r="M29" s="39">
        <v>0</v>
      </c>
      <c r="N29" s="39">
        <v>0</v>
      </c>
      <c r="O29" s="39">
        <v>0</v>
      </c>
      <c r="P29" s="39">
        <v>0</v>
      </c>
      <c r="Q29" s="39">
        <v>0</v>
      </c>
      <c r="R29" s="39">
        <v>0</v>
      </c>
      <c r="S29" s="384">
        <f>SUM(G29:R29)</f>
        <v>0</v>
      </c>
      <c r="T29" s="510"/>
      <c r="V29" s="509"/>
      <c r="W29" s="509"/>
    </row>
    <row r="30" spans="3:23" ht="12.75" hidden="1" customHeight="1" x14ac:dyDescent="0.2">
      <c r="C30" s="199"/>
      <c r="D30" s="180" t="s">
        <v>583</v>
      </c>
      <c r="E30" s="470"/>
      <c r="F30" s="511">
        <v>0</v>
      </c>
      <c r="G30" s="39">
        <v>0</v>
      </c>
      <c r="H30" s="39">
        <v>0</v>
      </c>
      <c r="I30" s="39">
        <v>0</v>
      </c>
      <c r="J30" s="39">
        <v>0</v>
      </c>
      <c r="K30" s="39">
        <v>0</v>
      </c>
      <c r="L30" s="39">
        <v>0</v>
      </c>
      <c r="M30" s="39">
        <v>0</v>
      </c>
      <c r="N30" s="39">
        <v>0</v>
      </c>
      <c r="O30" s="39">
        <v>0</v>
      </c>
      <c r="P30" s="39">
        <v>0</v>
      </c>
      <c r="Q30" s="39">
        <v>0</v>
      </c>
      <c r="R30" s="39">
        <v>0</v>
      </c>
      <c r="S30" s="384">
        <f t="shared" si="2"/>
        <v>0</v>
      </c>
      <c r="T30" s="510"/>
      <c r="V30" s="509"/>
      <c r="W30" s="509"/>
    </row>
    <row r="31" spans="3:23" ht="12.75" hidden="1" customHeight="1" x14ac:dyDescent="0.2">
      <c r="C31" s="199"/>
      <c r="D31" s="180" t="s">
        <v>584</v>
      </c>
      <c r="E31" s="470"/>
      <c r="F31" s="511">
        <v>0</v>
      </c>
      <c r="G31" s="39">
        <v>0</v>
      </c>
      <c r="H31" s="39">
        <v>0</v>
      </c>
      <c r="I31" s="39">
        <v>0</v>
      </c>
      <c r="J31" s="39">
        <v>0</v>
      </c>
      <c r="K31" s="39">
        <v>0</v>
      </c>
      <c r="L31" s="39">
        <v>0</v>
      </c>
      <c r="M31" s="39">
        <v>0</v>
      </c>
      <c r="N31" s="39">
        <v>0</v>
      </c>
      <c r="O31" s="39">
        <v>0</v>
      </c>
      <c r="P31" s="39">
        <v>0</v>
      </c>
      <c r="Q31" s="39">
        <v>0</v>
      </c>
      <c r="R31" s="39">
        <v>0</v>
      </c>
      <c r="S31" s="384">
        <f t="shared" si="2"/>
        <v>0</v>
      </c>
      <c r="T31" s="510"/>
      <c r="V31" s="509"/>
      <c r="W31" s="509"/>
    </row>
    <row r="32" spans="3:23" ht="12.75" hidden="1" customHeight="1" x14ac:dyDescent="0.2">
      <c r="C32" s="199"/>
      <c r="D32" s="180" t="s">
        <v>585</v>
      </c>
      <c r="E32" s="470"/>
      <c r="F32" s="511">
        <v>0</v>
      </c>
      <c r="G32" s="39">
        <v>0</v>
      </c>
      <c r="H32" s="39">
        <v>0</v>
      </c>
      <c r="I32" s="39">
        <v>0</v>
      </c>
      <c r="J32" s="39">
        <v>0</v>
      </c>
      <c r="K32" s="39">
        <v>0</v>
      </c>
      <c r="L32" s="39">
        <v>0</v>
      </c>
      <c r="M32" s="39">
        <v>0</v>
      </c>
      <c r="N32" s="39">
        <v>0</v>
      </c>
      <c r="O32" s="39">
        <v>0</v>
      </c>
      <c r="P32" s="39">
        <v>0</v>
      </c>
      <c r="Q32" s="39">
        <v>0</v>
      </c>
      <c r="R32" s="39">
        <v>0</v>
      </c>
      <c r="S32" s="384">
        <f t="shared" si="2"/>
        <v>0</v>
      </c>
      <c r="T32" s="510"/>
      <c r="V32" s="509"/>
      <c r="W32" s="509"/>
    </row>
    <row r="33" spans="3:23" ht="12.75" hidden="1" customHeight="1" x14ac:dyDescent="0.2">
      <c r="C33" s="199"/>
      <c r="D33" s="180" t="s">
        <v>585</v>
      </c>
      <c r="E33" s="470"/>
      <c r="F33" s="511">
        <v>0</v>
      </c>
      <c r="G33" s="39">
        <v>0</v>
      </c>
      <c r="H33" s="39">
        <v>0</v>
      </c>
      <c r="I33" s="39">
        <v>0</v>
      </c>
      <c r="J33" s="39">
        <v>0</v>
      </c>
      <c r="K33" s="39">
        <v>0</v>
      </c>
      <c r="L33" s="39">
        <v>0</v>
      </c>
      <c r="M33" s="39">
        <v>0</v>
      </c>
      <c r="N33" s="39">
        <v>0</v>
      </c>
      <c r="O33" s="39">
        <v>0</v>
      </c>
      <c r="P33" s="39">
        <v>0</v>
      </c>
      <c r="Q33" s="39">
        <v>0</v>
      </c>
      <c r="R33" s="39">
        <v>0</v>
      </c>
      <c r="S33" s="384">
        <f t="shared" si="2"/>
        <v>0</v>
      </c>
      <c r="T33" s="510"/>
      <c r="V33" s="509"/>
      <c r="W33" s="509"/>
    </row>
    <row r="34" spans="3:23" ht="15" hidden="1" customHeight="1" x14ac:dyDescent="0.2">
      <c r="C34" s="199"/>
      <c r="D34" s="180" t="s">
        <v>586</v>
      </c>
      <c r="E34" s="470"/>
      <c r="F34" s="511">
        <v>0</v>
      </c>
      <c r="G34" s="39">
        <v>0</v>
      </c>
      <c r="H34" s="39">
        <v>0</v>
      </c>
      <c r="I34" s="39">
        <v>0</v>
      </c>
      <c r="J34" s="39">
        <v>0</v>
      </c>
      <c r="K34" s="39">
        <v>0</v>
      </c>
      <c r="L34" s="39">
        <v>0</v>
      </c>
      <c r="M34" s="39">
        <v>0</v>
      </c>
      <c r="N34" s="39">
        <v>0</v>
      </c>
      <c r="O34" s="39">
        <v>0</v>
      </c>
      <c r="P34" s="39">
        <v>0</v>
      </c>
      <c r="Q34" s="39">
        <v>0</v>
      </c>
      <c r="R34" s="39">
        <v>0</v>
      </c>
      <c r="S34" s="384">
        <f t="shared" si="2"/>
        <v>0</v>
      </c>
      <c r="T34" s="510"/>
      <c r="V34" s="509"/>
      <c r="W34" s="509"/>
    </row>
    <row r="35" spans="3:23" ht="12.75" hidden="1" customHeight="1" x14ac:dyDescent="0.2">
      <c r="C35" s="199"/>
      <c r="D35" s="180" t="s">
        <v>587</v>
      </c>
      <c r="E35" s="470"/>
      <c r="F35" s="511">
        <v>0</v>
      </c>
      <c r="G35" s="39">
        <v>0</v>
      </c>
      <c r="H35" s="39">
        <v>0</v>
      </c>
      <c r="I35" s="39">
        <v>0</v>
      </c>
      <c r="J35" s="39">
        <v>0</v>
      </c>
      <c r="K35" s="39">
        <v>0</v>
      </c>
      <c r="L35" s="39">
        <v>0</v>
      </c>
      <c r="M35" s="39">
        <v>0</v>
      </c>
      <c r="N35" s="39">
        <v>0</v>
      </c>
      <c r="O35" s="39">
        <v>0</v>
      </c>
      <c r="P35" s="39">
        <v>0</v>
      </c>
      <c r="Q35" s="39">
        <v>0</v>
      </c>
      <c r="R35" s="39">
        <v>0</v>
      </c>
      <c r="S35" s="384">
        <f>SUM(G35:R35)</f>
        <v>0</v>
      </c>
      <c r="T35" s="510"/>
      <c r="V35" s="509"/>
      <c r="W35" s="509"/>
    </row>
    <row r="36" spans="3:23" hidden="1" x14ac:dyDescent="0.2">
      <c r="C36" s="199"/>
      <c r="D36" s="180" t="s">
        <v>588</v>
      </c>
      <c r="E36" s="470"/>
      <c r="F36" s="511">
        <v>0</v>
      </c>
      <c r="G36" s="39">
        <v>0</v>
      </c>
      <c r="H36" s="39">
        <v>0</v>
      </c>
      <c r="I36" s="39">
        <v>0</v>
      </c>
      <c r="J36" s="39">
        <v>0</v>
      </c>
      <c r="K36" s="39">
        <v>0</v>
      </c>
      <c r="L36" s="39">
        <v>0</v>
      </c>
      <c r="M36" s="39">
        <v>0</v>
      </c>
      <c r="N36" s="39">
        <v>0</v>
      </c>
      <c r="O36" s="39">
        <v>0</v>
      </c>
      <c r="P36" s="39">
        <v>0</v>
      </c>
      <c r="Q36" s="39">
        <v>0</v>
      </c>
      <c r="R36" s="39">
        <v>0</v>
      </c>
      <c r="S36" s="384">
        <f>SUM(G36:R36)</f>
        <v>0</v>
      </c>
      <c r="T36" s="510"/>
      <c r="V36" s="509"/>
      <c r="W36" s="509">
        <v>1316271</v>
      </c>
    </row>
    <row r="37" spans="3:23" hidden="1" x14ac:dyDescent="0.2">
      <c r="C37" s="199"/>
      <c r="D37" s="180" t="s">
        <v>589</v>
      </c>
      <c r="E37" s="470"/>
      <c r="F37" s="511">
        <v>0</v>
      </c>
      <c r="G37" s="39">
        <v>0</v>
      </c>
      <c r="H37" s="39">
        <v>0</v>
      </c>
      <c r="I37" s="39">
        <v>0</v>
      </c>
      <c r="J37" s="39">
        <v>0</v>
      </c>
      <c r="K37" s="39">
        <v>0</v>
      </c>
      <c r="L37" s="39">
        <v>0</v>
      </c>
      <c r="M37" s="39">
        <v>0</v>
      </c>
      <c r="N37" s="39">
        <v>0</v>
      </c>
      <c r="O37" s="39">
        <v>0</v>
      </c>
      <c r="P37" s="39">
        <v>0</v>
      </c>
      <c r="Q37" s="39">
        <v>0</v>
      </c>
      <c r="R37" s="39">
        <v>0</v>
      </c>
      <c r="S37" s="384">
        <f>SUM(G37:R37)</f>
        <v>0</v>
      </c>
      <c r="T37" s="510"/>
      <c r="V37" s="509"/>
      <c r="W37" s="509"/>
    </row>
    <row r="38" spans="3:23" hidden="1" x14ac:dyDescent="0.2">
      <c r="C38" s="199"/>
      <c r="D38" s="180" t="s">
        <v>590</v>
      </c>
      <c r="E38" s="470"/>
      <c r="F38" s="39">
        <v>0</v>
      </c>
      <c r="G38" s="39">
        <v>0</v>
      </c>
      <c r="H38" s="39">
        <v>0</v>
      </c>
      <c r="I38" s="39">
        <v>0</v>
      </c>
      <c r="J38" s="39">
        <v>0</v>
      </c>
      <c r="K38" s="39">
        <v>0</v>
      </c>
      <c r="L38" s="39">
        <v>0</v>
      </c>
      <c r="M38" s="39">
        <v>0</v>
      </c>
      <c r="N38" s="39">
        <v>0</v>
      </c>
      <c r="O38" s="39">
        <v>0</v>
      </c>
      <c r="P38" s="39">
        <v>0</v>
      </c>
      <c r="Q38" s="39">
        <v>0</v>
      </c>
      <c r="R38" s="39">
        <v>0</v>
      </c>
      <c r="S38" s="384">
        <f>SUM(G38:R38)</f>
        <v>0</v>
      </c>
      <c r="T38" s="510"/>
      <c r="V38" s="509"/>
      <c r="W38" s="509"/>
    </row>
    <row r="39" spans="3:23" ht="12.75" customHeight="1" x14ac:dyDescent="0.2">
      <c r="C39" s="199"/>
      <c r="D39" s="180"/>
      <c r="E39" s="449"/>
      <c r="F39" s="39"/>
      <c r="G39" s="39"/>
      <c r="H39" s="39"/>
      <c r="I39" s="39"/>
      <c r="J39" s="39"/>
      <c r="K39" s="39"/>
      <c r="L39" s="39"/>
      <c r="M39" s="39"/>
      <c r="N39" s="39"/>
      <c r="O39" s="39"/>
      <c r="P39" s="39"/>
      <c r="Q39" s="39"/>
      <c r="R39" s="39"/>
      <c r="S39" s="384"/>
      <c r="T39" s="510"/>
      <c r="V39" s="509"/>
      <c r="W39" s="509"/>
    </row>
    <row r="40" spans="3:23" x14ac:dyDescent="0.2">
      <c r="C40" s="199" t="s">
        <v>591</v>
      </c>
      <c r="D40" s="182"/>
      <c r="E40" s="460"/>
      <c r="F40" s="53">
        <f t="shared" ref="F40:R40" si="3">SUM(F41:F49)</f>
        <v>-177615</v>
      </c>
      <c r="G40" s="53">
        <f>SUM(G41:G49)</f>
        <v>-18</v>
      </c>
      <c r="H40" s="53">
        <f t="shared" si="3"/>
        <v>-111334</v>
      </c>
      <c r="I40" s="53">
        <f t="shared" si="3"/>
        <v>-2</v>
      </c>
      <c r="J40" s="53">
        <f t="shared" si="3"/>
        <v>0</v>
      </c>
      <c r="K40" s="53">
        <f t="shared" si="3"/>
        <v>-1</v>
      </c>
      <c r="L40" s="53">
        <f t="shared" si="3"/>
        <v>-66260</v>
      </c>
      <c r="M40" s="53">
        <f t="shared" si="3"/>
        <v>-260</v>
      </c>
      <c r="N40" s="53">
        <f t="shared" si="3"/>
        <v>0</v>
      </c>
      <c r="O40" s="53">
        <f t="shared" si="3"/>
        <v>-2</v>
      </c>
      <c r="P40" s="53">
        <f>SUM(P41:P49)</f>
        <v>-8</v>
      </c>
      <c r="Q40" s="53">
        <f t="shared" si="3"/>
        <v>0</v>
      </c>
      <c r="R40" s="53">
        <f t="shared" si="3"/>
        <v>0</v>
      </c>
      <c r="S40" s="53">
        <f>SUM(S41:S49)</f>
        <v>-177885</v>
      </c>
      <c r="T40" s="510"/>
      <c r="V40" s="509"/>
      <c r="W40" s="509"/>
    </row>
    <row r="41" spans="3:23" hidden="1" x14ac:dyDescent="0.2">
      <c r="C41" s="513"/>
      <c r="D41" s="180" t="s">
        <v>592</v>
      </c>
      <c r="E41" s="470"/>
      <c r="F41" s="39">
        <v>0</v>
      </c>
      <c r="G41" s="384">
        <v>0</v>
      </c>
      <c r="H41" s="384">
        <v>0</v>
      </c>
      <c r="I41" s="384">
        <v>0</v>
      </c>
      <c r="J41" s="384">
        <v>0</v>
      </c>
      <c r="K41" s="384">
        <v>0</v>
      </c>
      <c r="L41" s="384">
        <v>0</v>
      </c>
      <c r="M41" s="384">
        <v>0</v>
      </c>
      <c r="N41" s="384">
        <v>0</v>
      </c>
      <c r="O41" s="384">
        <v>0</v>
      </c>
      <c r="P41" s="384">
        <v>0</v>
      </c>
      <c r="Q41" s="384">
        <v>0</v>
      </c>
      <c r="R41" s="384">
        <v>0</v>
      </c>
      <c r="S41" s="384">
        <f t="shared" ref="S41:S49" si="4">SUM(G41:R41)</f>
        <v>0</v>
      </c>
      <c r="T41" s="508"/>
      <c r="V41" s="509"/>
      <c r="W41" s="509"/>
    </row>
    <row r="42" spans="3:23" hidden="1" x14ac:dyDescent="0.2">
      <c r="C42" s="513"/>
      <c r="D42" s="180" t="s">
        <v>593</v>
      </c>
      <c r="E42" s="470"/>
      <c r="F42" s="511">
        <v>0</v>
      </c>
      <c r="G42" s="384">
        <v>0</v>
      </c>
      <c r="H42" s="384">
        <v>0</v>
      </c>
      <c r="I42" s="384">
        <v>0</v>
      </c>
      <c r="J42" s="384">
        <v>0</v>
      </c>
      <c r="K42" s="384">
        <v>0</v>
      </c>
      <c r="L42" s="384">
        <v>0</v>
      </c>
      <c r="M42" s="384">
        <v>0</v>
      </c>
      <c r="N42" s="384">
        <v>0</v>
      </c>
      <c r="O42" s="384">
        <v>0</v>
      </c>
      <c r="P42" s="384">
        <v>0</v>
      </c>
      <c r="Q42" s="384">
        <v>0</v>
      </c>
      <c r="R42" s="384">
        <v>0</v>
      </c>
      <c r="S42" s="384">
        <f t="shared" si="4"/>
        <v>0</v>
      </c>
      <c r="T42" s="508"/>
      <c r="V42" s="509"/>
      <c r="W42" s="509"/>
    </row>
    <row r="43" spans="3:23" x14ac:dyDescent="0.2">
      <c r="C43" s="513"/>
      <c r="D43" s="180" t="s">
        <v>594</v>
      </c>
      <c r="E43" s="460" t="s">
        <v>59</v>
      </c>
      <c r="F43" s="511">
        <v>-111331</v>
      </c>
      <c r="G43" s="384">
        <v>0</v>
      </c>
      <c r="H43" s="384">
        <v>-111331</v>
      </c>
      <c r="I43" s="384">
        <v>0</v>
      </c>
      <c r="J43" s="384">
        <v>0</v>
      </c>
      <c r="K43" s="384">
        <v>0</v>
      </c>
      <c r="L43" s="384">
        <v>0</v>
      </c>
      <c r="M43" s="384">
        <v>0</v>
      </c>
      <c r="N43" s="384">
        <v>0</v>
      </c>
      <c r="O43" s="384">
        <v>0</v>
      </c>
      <c r="P43" s="384">
        <v>0</v>
      </c>
      <c r="Q43" s="384">
        <v>0</v>
      </c>
      <c r="R43" s="384">
        <v>0</v>
      </c>
      <c r="S43" s="384">
        <f t="shared" si="4"/>
        <v>-111331</v>
      </c>
      <c r="T43" s="508"/>
      <c r="V43" s="509"/>
      <c r="W43" s="509"/>
    </row>
    <row r="44" spans="3:23" ht="12.75" customHeight="1" x14ac:dyDescent="0.2">
      <c r="C44" s="513"/>
      <c r="D44" s="180" t="s">
        <v>595</v>
      </c>
      <c r="E44" s="470"/>
      <c r="F44" s="511">
        <v>-66260</v>
      </c>
      <c r="G44" s="384">
        <v>0</v>
      </c>
      <c r="H44" s="384">
        <v>0</v>
      </c>
      <c r="I44" s="384">
        <v>0</v>
      </c>
      <c r="J44" s="384">
        <v>0</v>
      </c>
      <c r="K44" s="384">
        <v>0</v>
      </c>
      <c r="L44" s="384">
        <v>-66260</v>
      </c>
      <c r="M44" s="384">
        <v>-260</v>
      </c>
      <c r="N44" s="384">
        <v>0</v>
      </c>
      <c r="O44" s="384">
        <v>0</v>
      </c>
      <c r="P44" s="384">
        <v>0</v>
      </c>
      <c r="Q44" s="384">
        <v>0</v>
      </c>
      <c r="R44" s="384">
        <v>0</v>
      </c>
      <c r="S44" s="384">
        <f t="shared" si="4"/>
        <v>-66520</v>
      </c>
      <c r="T44" s="508"/>
      <c r="V44" s="509"/>
      <c r="W44" s="509"/>
    </row>
    <row r="45" spans="3:23" x14ac:dyDescent="0.2">
      <c r="C45" s="513"/>
      <c r="D45" s="180" t="s">
        <v>596</v>
      </c>
      <c r="E45" s="470"/>
      <c r="F45" s="511">
        <v>0</v>
      </c>
      <c r="G45" s="384">
        <v>0</v>
      </c>
      <c r="H45" s="384">
        <v>0</v>
      </c>
      <c r="I45" s="384">
        <v>0</v>
      </c>
      <c r="J45" s="384">
        <v>0</v>
      </c>
      <c r="K45" s="384">
        <v>0</v>
      </c>
      <c r="L45" s="384">
        <v>0</v>
      </c>
      <c r="M45" s="384">
        <v>0</v>
      </c>
      <c r="N45" s="384">
        <v>0</v>
      </c>
      <c r="O45" s="384">
        <v>0</v>
      </c>
      <c r="P45" s="384">
        <v>0</v>
      </c>
      <c r="Q45" s="384">
        <v>0</v>
      </c>
      <c r="R45" s="384">
        <v>0</v>
      </c>
      <c r="S45" s="384">
        <f t="shared" si="4"/>
        <v>0</v>
      </c>
      <c r="T45" s="508"/>
      <c r="V45" s="509"/>
      <c r="W45" s="509"/>
    </row>
    <row r="46" spans="3:23" hidden="1" x14ac:dyDescent="0.2">
      <c r="C46" s="513"/>
      <c r="D46" s="180" t="s">
        <v>597</v>
      </c>
      <c r="E46" s="470"/>
      <c r="F46" s="39">
        <v>0</v>
      </c>
      <c r="G46" s="384">
        <v>0</v>
      </c>
      <c r="H46" s="384">
        <v>0</v>
      </c>
      <c r="I46" s="384">
        <v>0</v>
      </c>
      <c r="J46" s="384">
        <v>0</v>
      </c>
      <c r="K46" s="384">
        <v>0</v>
      </c>
      <c r="L46" s="384">
        <v>0</v>
      </c>
      <c r="M46" s="384">
        <v>0</v>
      </c>
      <c r="N46" s="384">
        <v>0</v>
      </c>
      <c r="O46" s="384">
        <v>0</v>
      </c>
      <c r="P46" s="384">
        <v>0</v>
      </c>
      <c r="Q46" s="384">
        <v>0</v>
      </c>
      <c r="R46" s="384">
        <v>0</v>
      </c>
      <c r="S46" s="384">
        <f t="shared" si="4"/>
        <v>0</v>
      </c>
      <c r="T46" s="508"/>
      <c r="V46" s="509"/>
      <c r="W46" s="509"/>
    </row>
    <row r="47" spans="3:23" ht="12.75" hidden="1" customHeight="1" x14ac:dyDescent="0.2">
      <c r="C47" s="513"/>
      <c r="D47" s="180" t="s">
        <v>598</v>
      </c>
      <c r="E47" s="449"/>
      <c r="F47" s="39">
        <v>0</v>
      </c>
      <c r="G47" s="384">
        <v>0</v>
      </c>
      <c r="H47" s="384">
        <v>0</v>
      </c>
      <c r="I47" s="384">
        <v>0</v>
      </c>
      <c r="J47" s="384">
        <v>0</v>
      </c>
      <c r="K47" s="384">
        <v>0</v>
      </c>
      <c r="L47" s="384">
        <v>0</v>
      </c>
      <c r="M47" s="384">
        <v>0</v>
      </c>
      <c r="N47" s="384">
        <v>0</v>
      </c>
      <c r="O47" s="384">
        <v>0</v>
      </c>
      <c r="P47" s="384">
        <v>0</v>
      </c>
      <c r="Q47" s="384">
        <v>0</v>
      </c>
      <c r="R47" s="384">
        <v>0</v>
      </c>
      <c r="S47" s="384">
        <f t="shared" si="4"/>
        <v>0</v>
      </c>
      <c r="T47" s="508"/>
      <c r="V47" s="509"/>
      <c r="W47" s="509"/>
    </row>
    <row r="48" spans="3:23" ht="12.75" hidden="1" customHeight="1" x14ac:dyDescent="0.2">
      <c r="C48" s="513"/>
      <c r="D48" s="180" t="s">
        <v>599</v>
      </c>
      <c r="E48" s="449"/>
      <c r="F48" s="39">
        <v>0</v>
      </c>
      <c r="G48" s="384">
        <v>0</v>
      </c>
      <c r="H48" s="384">
        <v>0</v>
      </c>
      <c r="I48" s="384">
        <v>0</v>
      </c>
      <c r="J48" s="384">
        <v>0</v>
      </c>
      <c r="K48" s="384">
        <v>0</v>
      </c>
      <c r="L48" s="384">
        <v>0</v>
      </c>
      <c r="M48" s="384">
        <v>0</v>
      </c>
      <c r="N48" s="384">
        <v>0</v>
      </c>
      <c r="O48" s="384">
        <v>0</v>
      </c>
      <c r="P48" s="384">
        <v>0</v>
      </c>
      <c r="Q48" s="384">
        <v>0</v>
      </c>
      <c r="R48" s="384">
        <v>0</v>
      </c>
      <c r="S48" s="384">
        <f t="shared" si="4"/>
        <v>0</v>
      </c>
      <c r="T48" s="508"/>
      <c r="V48" s="509"/>
      <c r="W48" s="509"/>
    </row>
    <row r="49" spans="3:23" ht="12.75" customHeight="1" x14ac:dyDescent="0.2">
      <c r="C49" s="513"/>
      <c r="D49" s="180" t="s">
        <v>600</v>
      </c>
      <c r="E49" s="449"/>
      <c r="F49" s="39">
        <v>-24</v>
      </c>
      <c r="G49" s="384">
        <v>-18</v>
      </c>
      <c r="H49" s="384">
        <v>-3</v>
      </c>
      <c r="I49" s="384">
        <v>-2</v>
      </c>
      <c r="J49" s="384">
        <v>0</v>
      </c>
      <c r="K49" s="384">
        <v>-1</v>
      </c>
      <c r="L49" s="384">
        <v>0</v>
      </c>
      <c r="M49" s="384">
        <v>0</v>
      </c>
      <c r="N49" s="384">
        <v>0</v>
      </c>
      <c r="O49" s="384">
        <v>-2</v>
      </c>
      <c r="P49" s="384">
        <v>-8</v>
      </c>
      <c r="Q49" s="384">
        <v>0</v>
      </c>
      <c r="R49" s="384">
        <v>0</v>
      </c>
      <c r="S49" s="384">
        <f t="shared" si="4"/>
        <v>-34</v>
      </c>
      <c r="T49" s="508"/>
      <c r="V49" s="509"/>
      <c r="W49" s="509"/>
    </row>
    <row r="50" spans="3:23" ht="12.75" hidden="1" customHeight="1" x14ac:dyDescent="0.2">
      <c r="C50" s="513"/>
      <c r="D50" s="180"/>
      <c r="E50" s="449"/>
      <c r="F50" s="39"/>
      <c r="G50" s="384"/>
      <c r="H50" s="384"/>
      <c r="I50" s="384"/>
      <c r="J50" s="384"/>
      <c r="K50" s="384"/>
      <c r="L50" s="384"/>
      <c r="M50" s="384"/>
      <c r="N50" s="384"/>
      <c r="O50" s="384"/>
      <c r="P50" s="384"/>
      <c r="Q50" s="384"/>
      <c r="R50" s="384"/>
      <c r="S50" s="384"/>
      <c r="T50" s="508"/>
      <c r="V50" s="509"/>
      <c r="W50" s="509"/>
    </row>
    <row r="51" spans="3:23" ht="12.75" hidden="1" customHeight="1" x14ac:dyDescent="0.2">
      <c r="C51" s="513"/>
      <c r="D51" s="180"/>
      <c r="E51" s="449"/>
      <c r="F51" s="39"/>
      <c r="G51" s="384"/>
      <c r="H51" s="384"/>
      <c r="I51" s="384"/>
      <c r="J51" s="384"/>
      <c r="K51" s="384"/>
      <c r="L51" s="384"/>
      <c r="M51" s="384"/>
      <c r="N51" s="384"/>
      <c r="O51" s="384"/>
      <c r="P51" s="384"/>
      <c r="Q51" s="384"/>
      <c r="R51" s="384"/>
      <c r="S51" s="384"/>
      <c r="T51" s="508"/>
      <c r="V51" s="509"/>
      <c r="W51" s="509"/>
    </row>
    <row r="52" spans="3:23" ht="12.75" hidden="1" customHeight="1" x14ac:dyDescent="0.2">
      <c r="C52" s="513"/>
      <c r="D52" s="180"/>
      <c r="E52" s="449"/>
      <c r="F52" s="39"/>
      <c r="G52" s="384"/>
      <c r="H52" s="384"/>
      <c r="I52" s="384"/>
      <c r="J52" s="384"/>
      <c r="K52" s="384"/>
      <c r="L52" s="384"/>
      <c r="M52" s="384"/>
      <c r="N52" s="384"/>
      <c r="O52" s="384"/>
      <c r="P52" s="384"/>
      <c r="Q52" s="384"/>
      <c r="R52" s="384"/>
      <c r="S52" s="384"/>
      <c r="T52" s="508"/>
      <c r="V52" s="509"/>
      <c r="W52" s="509"/>
    </row>
    <row r="53" spans="3:23" ht="12.75" hidden="1" customHeight="1" x14ac:dyDescent="0.2">
      <c r="C53" s="513"/>
      <c r="D53" s="180"/>
      <c r="E53" s="449"/>
      <c r="F53" s="39"/>
      <c r="G53" s="384"/>
      <c r="H53" s="384"/>
      <c r="I53" s="384"/>
      <c r="J53" s="384"/>
      <c r="K53" s="384"/>
      <c r="L53" s="384"/>
      <c r="M53" s="384"/>
      <c r="N53" s="384"/>
      <c r="O53" s="384"/>
      <c r="P53" s="384"/>
      <c r="Q53" s="384"/>
      <c r="R53" s="384"/>
      <c r="S53" s="384"/>
      <c r="T53" s="508"/>
      <c r="V53" s="509"/>
      <c r="W53" s="509"/>
    </row>
    <row r="54" spans="3:23" ht="12.75" hidden="1" customHeight="1" x14ac:dyDescent="0.2">
      <c r="C54" s="513"/>
      <c r="D54" s="180"/>
      <c r="E54" s="449"/>
      <c r="F54" s="39"/>
      <c r="G54" s="384"/>
      <c r="H54" s="384"/>
      <c r="I54" s="384"/>
      <c r="J54" s="384"/>
      <c r="K54" s="384"/>
      <c r="L54" s="384"/>
      <c r="M54" s="384"/>
      <c r="N54" s="384"/>
      <c r="O54" s="384"/>
      <c r="P54" s="384"/>
      <c r="Q54" s="384"/>
      <c r="R54" s="384"/>
      <c r="S54" s="384"/>
      <c r="T54" s="508"/>
      <c r="V54" s="509"/>
      <c r="W54" s="509"/>
    </row>
    <row r="55" spans="3:23" ht="12.75" hidden="1" customHeight="1" x14ac:dyDescent="0.2">
      <c r="C55" s="513"/>
      <c r="D55" s="180"/>
      <c r="E55" s="449"/>
      <c r="F55" s="39"/>
      <c r="G55" s="384"/>
      <c r="H55" s="384"/>
      <c r="I55" s="384"/>
      <c r="J55" s="384"/>
      <c r="K55" s="384"/>
      <c r="L55" s="384"/>
      <c r="M55" s="384"/>
      <c r="N55" s="384"/>
      <c r="O55" s="384"/>
      <c r="P55" s="384"/>
      <c r="Q55" s="384"/>
      <c r="R55" s="384"/>
      <c r="S55" s="384"/>
      <c r="T55" s="508"/>
      <c r="V55" s="509"/>
      <c r="W55" s="509"/>
    </row>
    <row r="56" spans="3:23" ht="12.75" hidden="1" customHeight="1" x14ac:dyDescent="0.2">
      <c r="C56" s="513"/>
      <c r="D56" s="180"/>
      <c r="E56" s="449"/>
      <c r="F56" s="39"/>
      <c r="G56" s="384"/>
      <c r="H56" s="384"/>
      <c r="I56" s="384"/>
      <c r="J56" s="384"/>
      <c r="K56" s="384"/>
      <c r="L56" s="384"/>
      <c r="M56" s="384"/>
      <c r="N56" s="384"/>
      <c r="O56" s="384"/>
      <c r="P56" s="384"/>
      <c r="Q56" s="384"/>
      <c r="R56" s="384"/>
      <c r="S56" s="384"/>
      <c r="T56" s="508"/>
      <c r="V56" s="509"/>
      <c r="W56" s="509"/>
    </row>
    <row r="57" spans="3:23" ht="12.75" hidden="1" customHeight="1" x14ac:dyDescent="0.2">
      <c r="C57" s="513"/>
      <c r="D57" s="180"/>
      <c r="E57" s="449"/>
      <c r="F57" s="39"/>
      <c r="G57" s="384"/>
      <c r="H57" s="384"/>
      <c r="I57" s="384"/>
      <c r="J57" s="384"/>
      <c r="K57" s="384"/>
      <c r="L57" s="384"/>
      <c r="M57" s="384"/>
      <c r="N57" s="384"/>
      <c r="O57" s="384"/>
      <c r="P57" s="384"/>
      <c r="Q57" s="384"/>
      <c r="R57" s="384"/>
      <c r="S57" s="384"/>
      <c r="T57" s="508"/>
      <c r="V57" s="509"/>
      <c r="W57" s="509"/>
    </row>
    <row r="58" spans="3:23" ht="12.75" hidden="1" customHeight="1" x14ac:dyDescent="0.2">
      <c r="C58" s="513"/>
      <c r="D58" s="180"/>
      <c r="E58" s="449"/>
      <c r="F58" s="39"/>
      <c r="G58" s="384"/>
      <c r="H58" s="384"/>
      <c r="I58" s="384"/>
      <c r="J58" s="384"/>
      <c r="K58" s="384"/>
      <c r="L58" s="384"/>
      <c r="M58" s="384"/>
      <c r="N58" s="384"/>
      <c r="O58" s="384"/>
      <c r="P58" s="384"/>
      <c r="Q58" s="384"/>
      <c r="R58" s="384"/>
      <c r="S58" s="384"/>
      <c r="T58" s="508"/>
      <c r="V58" s="509"/>
      <c r="W58" s="509"/>
    </row>
    <row r="59" spans="3:23" ht="12.75" hidden="1" customHeight="1" x14ac:dyDescent="0.2">
      <c r="C59" s="513"/>
      <c r="D59" s="180"/>
      <c r="E59" s="449"/>
      <c r="F59" s="39"/>
      <c r="G59" s="384"/>
      <c r="H59" s="384"/>
      <c r="I59" s="384"/>
      <c r="J59" s="384"/>
      <c r="K59" s="384"/>
      <c r="L59" s="384"/>
      <c r="M59" s="384"/>
      <c r="N59" s="384"/>
      <c r="O59" s="384"/>
      <c r="P59" s="384"/>
      <c r="Q59" s="384"/>
      <c r="R59" s="384"/>
      <c r="S59" s="384"/>
      <c r="T59" s="508"/>
      <c r="V59" s="509"/>
      <c r="W59" s="509"/>
    </row>
    <row r="60" spans="3:23" ht="12.75" hidden="1" customHeight="1" x14ac:dyDescent="0.2">
      <c r="C60" s="513"/>
      <c r="D60" s="180"/>
      <c r="E60" s="449"/>
      <c r="F60" s="39"/>
      <c r="G60" s="384"/>
      <c r="H60" s="384"/>
      <c r="I60" s="384"/>
      <c r="J60" s="384"/>
      <c r="K60" s="384"/>
      <c r="L60" s="384"/>
      <c r="M60" s="384"/>
      <c r="N60" s="384"/>
      <c r="O60" s="384"/>
      <c r="P60" s="384"/>
      <c r="Q60" s="384"/>
      <c r="R60" s="384"/>
      <c r="S60" s="384"/>
      <c r="T60" s="508"/>
      <c r="V60" s="509"/>
      <c r="W60" s="509"/>
    </row>
    <row r="61" spans="3:23" ht="12.75" hidden="1" customHeight="1" x14ac:dyDescent="0.2">
      <c r="C61" s="513"/>
      <c r="D61" s="180"/>
      <c r="E61" s="449"/>
      <c r="F61" s="39"/>
      <c r="G61" s="384"/>
      <c r="H61" s="384"/>
      <c r="I61" s="384"/>
      <c r="J61" s="384"/>
      <c r="K61" s="384"/>
      <c r="L61" s="384"/>
      <c r="M61" s="384"/>
      <c r="N61" s="384"/>
      <c r="O61" s="384"/>
      <c r="P61" s="384"/>
      <c r="Q61" s="384"/>
      <c r="R61" s="384"/>
      <c r="S61" s="384"/>
      <c r="T61" s="508"/>
      <c r="V61" s="509"/>
      <c r="W61" s="509"/>
    </row>
    <row r="62" spans="3:23" ht="12.75" hidden="1" customHeight="1" x14ac:dyDescent="0.2">
      <c r="C62" s="513"/>
      <c r="D62" s="180"/>
      <c r="E62" s="449"/>
      <c r="F62" s="39"/>
      <c r="G62" s="384"/>
      <c r="H62" s="384"/>
      <c r="I62" s="384"/>
      <c r="J62" s="384"/>
      <c r="K62" s="384"/>
      <c r="L62" s="384"/>
      <c r="M62" s="384"/>
      <c r="N62" s="384"/>
      <c r="O62" s="384"/>
      <c r="P62" s="384"/>
      <c r="Q62" s="384"/>
      <c r="R62" s="384"/>
      <c r="S62" s="384"/>
      <c r="T62" s="508"/>
      <c r="V62" s="509"/>
      <c r="W62" s="509"/>
    </row>
    <row r="63" spans="3:23" hidden="1" x14ac:dyDescent="0.2">
      <c r="C63" s="513"/>
      <c r="D63" s="180"/>
      <c r="E63" s="449"/>
      <c r="F63" s="39"/>
      <c r="G63" s="384"/>
      <c r="H63" s="384"/>
      <c r="I63" s="384"/>
      <c r="J63" s="384"/>
      <c r="K63" s="384"/>
      <c r="L63" s="384"/>
      <c r="M63" s="384"/>
      <c r="N63" s="384"/>
      <c r="O63" s="384"/>
      <c r="P63" s="384"/>
      <c r="Q63" s="384"/>
      <c r="R63" s="384"/>
      <c r="S63" s="384"/>
      <c r="T63" s="508"/>
      <c r="V63" s="509"/>
      <c r="W63" s="509"/>
    </row>
    <row r="64" spans="3:23" ht="12.75" customHeight="1" x14ac:dyDescent="0.2">
      <c r="C64" s="514"/>
      <c r="D64" s="515"/>
      <c r="E64" s="516"/>
      <c r="F64" s="517"/>
      <c r="G64" s="518"/>
      <c r="H64" s="518"/>
      <c r="I64" s="518"/>
      <c r="J64" s="518"/>
      <c r="K64" s="518"/>
      <c r="L64" s="518"/>
      <c r="M64" s="518"/>
      <c r="N64" s="518"/>
      <c r="O64" s="518"/>
      <c r="P64" s="518"/>
      <c r="Q64" s="518"/>
      <c r="R64" s="518"/>
      <c r="S64" s="518"/>
      <c r="T64" s="508"/>
      <c r="V64" s="509"/>
      <c r="W64" s="509"/>
    </row>
    <row r="65" spans="1:24" ht="12.75" hidden="1" customHeight="1" x14ac:dyDescent="0.2">
      <c r="C65" s="519" t="s">
        <v>601</v>
      </c>
      <c r="D65" s="515"/>
      <c r="E65" s="478"/>
      <c r="F65" s="520">
        <v>0</v>
      </c>
      <c r="G65" s="518">
        <v>0</v>
      </c>
      <c r="H65" s="518">
        <v>0</v>
      </c>
      <c r="I65" s="518">
        <v>0</v>
      </c>
      <c r="J65" s="518">
        <v>0</v>
      </c>
      <c r="K65" s="518">
        <v>0</v>
      </c>
      <c r="L65" s="518">
        <v>0</v>
      </c>
      <c r="M65" s="518">
        <v>0</v>
      </c>
      <c r="N65" s="518">
        <v>0</v>
      </c>
      <c r="O65" s="518">
        <v>0</v>
      </c>
      <c r="P65" s="518">
        <v>0</v>
      </c>
      <c r="Q65" s="518">
        <v>0</v>
      </c>
      <c r="R65" s="518">
        <v>0</v>
      </c>
      <c r="S65" s="518">
        <f>SUM(G65:R65)</f>
        <v>0</v>
      </c>
      <c r="T65" s="508"/>
      <c r="V65" s="509"/>
      <c r="W65" s="509"/>
    </row>
    <row r="66" spans="1:24" s="522" customFormat="1" ht="15" customHeight="1" x14ac:dyDescent="0.2">
      <c r="A66" s="502"/>
      <c r="B66" s="502"/>
      <c r="C66" s="233" t="s">
        <v>602</v>
      </c>
      <c r="D66" s="233"/>
      <c r="E66" s="188"/>
      <c r="F66" s="19"/>
      <c r="G66" s="19"/>
      <c r="H66" s="19"/>
      <c r="I66" s="19"/>
      <c r="J66" s="19"/>
      <c r="K66" s="19"/>
      <c r="L66" s="19"/>
      <c r="M66" s="368"/>
      <c r="N66" s="368"/>
      <c r="O66" s="368"/>
      <c r="P66" s="368"/>
      <c r="Q66" s="368"/>
      <c r="R66" s="368"/>
      <c r="S66" s="368"/>
      <c r="T66" s="521"/>
    </row>
    <row r="67" spans="1:24" x14ac:dyDescent="0.2">
      <c r="C67" s="233" t="s">
        <v>603</v>
      </c>
      <c r="D67" s="233"/>
      <c r="E67" s="449"/>
      <c r="F67" s="180"/>
      <c r="G67" s="180"/>
      <c r="H67" s="1"/>
      <c r="I67" s="180"/>
      <c r="J67" s="180"/>
      <c r="K67" s="180"/>
      <c r="L67" s="180"/>
      <c r="M67" s="180"/>
      <c r="N67" s="180"/>
      <c r="O67" s="180"/>
      <c r="P67" s="180"/>
      <c r="Q67" s="180"/>
      <c r="R67" s="180"/>
      <c r="S67" s="1"/>
      <c r="T67" s="521"/>
      <c r="V67" s="509"/>
      <c r="X67" s="509"/>
    </row>
    <row r="68" spans="1:24" x14ac:dyDescent="0.2">
      <c r="C68" s="233"/>
      <c r="D68" s="180"/>
      <c r="E68" s="449"/>
      <c r="F68" s="180"/>
      <c r="G68" s="180"/>
      <c r="H68" s="1"/>
      <c r="I68" s="180"/>
      <c r="J68" s="180"/>
      <c r="K68" s="180"/>
      <c r="L68" s="180"/>
      <c r="M68" s="180"/>
      <c r="N68" s="180"/>
      <c r="O68" s="180"/>
      <c r="P68" s="180"/>
      <c r="Q68" s="180"/>
      <c r="R68" s="180"/>
      <c r="S68" s="180"/>
      <c r="T68" s="521"/>
      <c r="V68" s="509"/>
      <c r="X68" s="509"/>
    </row>
    <row r="69" spans="1:24" x14ac:dyDescent="0.2">
      <c r="C69" s="180"/>
      <c r="E69" s="180"/>
      <c r="F69" s="180"/>
      <c r="G69" s="180"/>
      <c r="H69" s="1"/>
      <c r="I69" s="180"/>
      <c r="J69" s="180"/>
      <c r="K69" s="180"/>
      <c r="L69" s="180"/>
      <c r="M69" s="180"/>
      <c r="N69" s="180"/>
      <c r="O69" s="180"/>
      <c r="P69" s="180"/>
      <c r="Q69" s="180"/>
      <c r="R69" s="180"/>
      <c r="S69" s="180"/>
      <c r="X69" s="523"/>
    </row>
    <row r="70" spans="1:24" ht="12.75" hidden="1" customHeight="1" x14ac:dyDescent="0.2">
      <c r="C70" s="502" t="s">
        <v>604</v>
      </c>
      <c r="H70" s="509"/>
    </row>
    <row r="71" spans="1:24" ht="12.75" hidden="1" customHeight="1" x14ac:dyDescent="0.2">
      <c r="C71" s="502" t="s">
        <v>605</v>
      </c>
      <c r="H71" s="509"/>
    </row>
    <row r="72" spans="1:24" ht="12.75" hidden="1" customHeight="1" x14ac:dyDescent="0.2">
      <c r="C72" s="502" t="s">
        <v>606</v>
      </c>
      <c r="H72" s="509"/>
    </row>
    <row r="73" spans="1:24" ht="12.75" hidden="1" customHeight="1" x14ac:dyDescent="0.2">
      <c r="C73" s="502" t="s">
        <v>607</v>
      </c>
      <c r="H73" s="509"/>
    </row>
    <row r="74" spans="1:24" ht="12.75" hidden="1" customHeight="1" x14ac:dyDescent="0.2">
      <c r="C74" s="502" t="s">
        <v>608</v>
      </c>
    </row>
    <row r="75" spans="1:24" ht="12.75" hidden="1" customHeight="1" x14ac:dyDescent="0.2">
      <c r="C75" s="502" t="s">
        <v>609</v>
      </c>
    </row>
    <row r="76" spans="1:24" ht="12.75" hidden="1" customHeight="1" x14ac:dyDescent="0.2">
      <c r="C76" s="502" t="s">
        <v>610</v>
      </c>
    </row>
    <row r="77" spans="1:24" hidden="1" x14ac:dyDescent="0.2">
      <c r="D77" s="524"/>
      <c r="M77" s="509"/>
      <c r="T77" s="521"/>
    </row>
    <row r="78" spans="1:24" hidden="1" x14ac:dyDescent="0.2">
      <c r="T78" s="521"/>
    </row>
    <row r="79" spans="1:24" hidden="1" x14ac:dyDescent="0.2">
      <c r="C79" s="525"/>
      <c r="D79" s="525"/>
      <c r="E79" s="526"/>
      <c r="F79" s="526"/>
    </row>
    <row r="80" spans="1:24" hidden="1" x14ac:dyDescent="0.2">
      <c r="F80" s="509"/>
    </row>
    <row r="81" spans="5:19" hidden="1" x14ac:dyDescent="0.2"/>
    <row r="82" spans="5:19" hidden="1" x14ac:dyDescent="0.2"/>
    <row r="83" spans="5:19" hidden="1" x14ac:dyDescent="0.2"/>
    <row r="84" spans="5:19" hidden="1" x14ac:dyDescent="0.2"/>
    <row r="85" spans="5:19" hidden="1" x14ac:dyDescent="0.2"/>
    <row r="86" spans="5:19" hidden="1" x14ac:dyDescent="0.2"/>
    <row r="87" spans="5:19" s="528" customFormat="1" x14ac:dyDescent="0.2">
      <c r="E87" s="527"/>
      <c r="F87" s="527"/>
      <c r="G87" s="529"/>
      <c r="H87" s="529"/>
      <c r="I87" s="529"/>
      <c r="J87" s="529"/>
      <c r="K87" s="529"/>
      <c r="L87" s="529"/>
      <c r="M87" s="530"/>
      <c r="N87" s="531"/>
      <c r="O87" s="529"/>
      <c r="P87" s="529"/>
      <c r="Q87" s="529"/>
      <c r="R87" s="529"/>
      <c r="S87" s="532"/>
    </row>
    <row r="88" spans="5:19" s="528" customFormat="1" x14ac:dyDescent="0.2">
      <c r="E88" s="527"/>
      <c r="F88" s="527"/>
      <c r="G88" s="529"/>
      <c r="H88" s="529"/>
      <c r="I88" s="529"/>
      <c r="J88" s="529"/>
      <c r="K88" s="529"/>
      <c r="L88" s="529"/>
      <c r="M88" s="529"/>
      <c r="N88" s="529"/>
      <c r="O88" s="529"/>
      <c r="P88" s="529"/>
      <c r="Q88" s="529"/>
      <c r="R88" s="529"/>
      <c r="S88" s="532"/>
    </row>
    <row r="89" spans="5:19" s="528" customFormat="1" x14ac:dyDescent="0.2">
      <c r="E89" s="527"/>
      <c r="F89" s="527"/>
      <c r="G89" s="527"/>
      <c r="H89" s="527"/>
      <c r="I89" s="527"/>
      <c r="J89" s="527"/>
      <c r="K89" s="527"/>
      <c r="L89" s="527"/>
      <c r="M89" s="527"/>
      <c r="N89" s="527"/>
      <c r="O89" s="527"/>
      <c r="P89" s="527"/>
      <c r="Q89" s="527"/>
      <c r="R89" s="527"/>
      <c r="S89" s="532"/>
    </row>
    <row r="90" spans="5:19" s="528" customFormat="1" x14ac:dyDescent="0.2">
      <c r="E90" s="527"/>
      <c r="F90" s="502"/>
      <c r="G90" s="530"/>
      <c r="H90" s="530"/>
      <c r="I90" s="530"/>
      <c r="J90" s="530"/>
      <c r="K90" s="530"/>
      <c r="L90" s="530"/>
      <c r="M90" s="530"/>
      <c r="N90" s="530"/>
      <c r="O90" s="530"/>
      <c r="P90" s="527"/>
      <c r="Q90" s="527"/>
      <c r="R90" s="527"/>
      <c r="S90" s="532"/>
    </row>
    <row r="91" spans="5:19" ht="15.75" customHeight="1" x14ac:dyDescent="0.2">
      <c r="G91" s="529"/>
      <c r="H91" s="529"/>
      <c r="I91" s="529"/>
      <c r="J91" s="529"/>
      <c r="K91" s="529"/>
      <c r="L91" s="529"/>
      <c r="M91" s="529"/>
      <c r="N91" s="529"/>
      <c r="O91" s="529"/>
      <c r="S91" s="532"/>
    </row>
    <row r="92" spans="5:19" x14ac:dyDescent="0.2">
      <c r="S92" s="532"/>
    </row>
    <row r="93" spans="5:19" x14ac:dyDescent="0.2">
      <c r="G93" s="509"/>
      <c r="H93" s="509"/>
      <c r="I93" s="509"/>
      <c r="J93" s="509"/>
      <c r="K93" s="509"/>
      <c r="L93" s="509"/>
      <c r="M93" s="509"/>
      <c r="N93" s="509"/>
      <c r="O93" s="509"/>
      <c r="S93" s="532"/>
    </row>
    <row r="94" spans="5:19" x14ac:dyDescent="0.2">
      <c r="G94" s="509"/>
      <c r="H94" s="509"/>
      <c r="I94" s="509"/>
      <c r="J94" s="509"/>
      <c r="K94" s="509"/>
      <c r="L94" s="509"/>
      <c r="M94" s="509"/>
      <c r="N94" s="509"/>
      <c r="O94" s="509"/>
      <c r="P94" s="509"/>
      <c r="Q94" s="509"/>
      <c r="R94" s="509"/>
      <c r="S94" s="532"/>
    </row>
    <row r="95" spans="5:19" x14ac:dyDescent="0.2">
      <c r="G95" s="509"/>
      <c r="H95" s="509"/>
      <c r="I95" s="509"/>
      <c r="J95" s="509"/>
      <c r="K95" s="509"/>
      <c r="L95" s="509"/>
      <c r="M95" s="509"/>
      <c r="N95" s="509"/>
      <c r="O95" s="509"/>
      <c r="P95" s="509"/>
      <c r="Q95" s="509"/>
      <c r="R95" s="509"/>
      <c r="S95" s="509"/>
    </row>
    <row r="96" spans="5:19" x14ac:dyDescent="0.2">
      <c r="G96" s="509"/>
      <c r="H96" s="509"/>
      <c r="I96" s="509"/>
      <c r="J96" s="509"/>
      <c r="K96" s="509"/>
      <c r="L96" s="509"/>
      <c r="M96" s="509"/>
      <c r="N96" s="509"/>
      <c r="O96" s="509"/>
      <c r="P96" s="509"/>
      <c r="Q96" s="509"/>
      <c r="R96" s="509"/>
      <c r="S96" s="509"/>
    </row>
    <row r="97" spans="7:19" x14ac:dyDescent="0.2">
      <c r="G97" s="509"/>
      <c r="H97" s="509"/>
      <c r="I97" s="509"/>
      <c r="J97" s="509"/>
      <c r="K97" s="509"/>
      <c r="L97" s="509"/>
      <c r="M97" s="509"/>
      <c r="N97" s="509"/>
      <c r="O97" s="509"/>
      <c r="P97" s="509"/>
      <c r="Q97" s="509"/>
      <c r="R97" s="509"/>
      <c r="S97" s="509"/>
    </row>
    <row r="98" spans="7:19" x14ac:dyDescent="0.2">
      <c r="G98" s="509"/>
      <c r="H98" s="509"/>
      <c r="I98" s="509"/>
      <c r="J98" s="509"/>
      <c r="K98" s="509"/>
      <c r="L98" s="509"/>
      <c r="M98" s="509"/>
      <c r="N98" s="509"/>
      <c r="O98" s="509"/>
      <c r="P98" s="509"/>
      <c r="Q98" s="509"/>
      <c r="R98" s="509"/>
      <c r="S98" s="509"/>
    </row>
    <row r="99" spans="7:19" x14ac:dyDescent="0.2">
      <c r="G99" s="509"/>
      <c r="H99" s="509"/>
      <c r="I99" s="509"/>
      <c r="J99" s="509"/>
      <c r="K99" s="509"/>
      <c r="L99" s="509"/>
      <c r="M99" s="509"/>
      <c r="N99" s="509"/>
      <c r="O99" s="509"/>
      <c r="P99" s="509"/>
      <c r="Q99" s="509"/>
      <c r="R99" s="509"/>
      <c r="S99" s="509"/>
    </row>
    <row r="100" spans="7:19" x14ac:dyDescent="0.2">
      <c r="G100" s="509"/>
      <c r="H100" s="509"/>
      <c r="I100" s="509"/>
      <c r="J100" s="509"/>
      <c r="K100" s="509"/>
      <c r="L100" s="509"/>
      <c r="M100" s="509"/>
      <c r="N100" s="509"/>
      <c r="O100" s="509"/>
      <c r="P100" s="509"/>
      <c r="Q100" s="509"/>
      <c r="R100" s="509"/>
      <c r="S100" s="509"/>
    </row>
    <row r="101" spans="7:19" x14ac:dyDescent="0.2">
      <c r="G101" s="509"/>
      <c r="H101" s="509"/>
      <c r="I101" s="509"/>
      <c r="J101" s="509"/>
      <c r="K101" s="509"/>
      <c r="L101" s="509"/>
      <c r="M101" s="509"/>
      <c r="N101" s="509"/>
      <c r="O101" s="509"/>
      <c r="P101" s="509"/>
      <c r="Q101" s="509"/>
      <c r="R101" s="509"/>
      <c r="S101" s="509"/>
    </row>
    <row r="102" spans="7:19" x14ac:dyDescent="0.2">
      <c r="G102" s="509"/>
      <c r="H102" s="509"/>
      <c r="I102" s="509"/>
      <c r="J102" s="509"/>
      <c r="K102" s="509"/>
      <c r="L102" s="509"/>
      <c r="M102" s="509"/>
      <c r="N102" s="509"/>
      <c r="O102" s="509"/>
      <c r="P102" s="509"/>
      <c r="Q102" s="509"/>
      <c r="R102" s="509"/>
      <c r="S102" s="509"/>
    </row>
    <row r="103" spans="7:19" x14ac:dyDescent="0.2">
      <c r="G103" s="509"/>
      <c r="H103" s="509"/>
      <c r="I103" s="509"/>
      <c r="J103" s="509"/>
      <c r="K103" s="509"/>
      <c r="L103" s="509"/>
      <c r="M103" s="509"/>
      <c r="N103" s="509"/>
      <c r="O103" s="509"/>
      <c r="P103" s="509"/>
      <c r="Q103" s="509"/>
      <c r="R103" s="509"/>
      <c r="S103" s="509"/>
    </row>
    <row r="104" spans="7:19" x14ac:dyDescent="0.2">
      <c r="G104" s="509"/>
      <c r="H104" s="509"/>
      <c r="I104" s="509"/>
      <c r="J104" s="509"/>
      <c r="K104" s="509"/>
      <c r="L104" s="509"/>
      <c r="M104" s="509"/>
      <c r="N104" s="509"/>
      <c r="O104" s="509"/>
      <c r="P104" s="509"/>
      <c r="Q104" s="509"/>
      <c r="R104" s="509"/>
      <c r="S104" s="509"/>
    </row>
    <row r="105" spans="7:19" x14ac:dyDescent="0.2">
      <c r="G105" s="509"/>
      <c r="H105" s="509"/>
      <c r="I105" s="509"/>
      <c r="J105" s="509"/>
      <c r="K105" s="509"/>
      <c r="L105" s="509"/>
      <c r="M105" s="509"/>
      <c r="N105" s="509"/>
      <c r="O105" s="509"/>
      <c r="P105" s="509"/>
      <c r="Q105" s="509"/>
      <c r="R105" s="509"/>
      <c r="S105" s="509"/>
    </row>
    <row r="106" spans="7:19" x14ac:dyDescent="0.2">
      <c r="G106" s="509"/>
      <c r="H106" s="509"/>
      <c r="I106" s="509"/>
      <c r="J106" s="509"/>
      <c r="K106" s="509"/>
      <c r="L106" s="509"/>
      <c r="M106" s="509"/>
      <c r="N106" s="509"/>
      <c r="O106" s="509"/>
      <c r="P106" s="509"/>
      <c r="Q106" s="509"/>
      <c r="R106" s="509"/>
      <c r="S106" s="509"/>
    </row>
    <row r="107" spans="7:19" x14ac:dyDescent="0.2">
      <c r="G107" s="509"/>
      <c r="H107" s="509"/>
      <c r="I107" s="509"/>
      <c r="J107" s="509"/>
      <c r="K107" s="509"/>
      <c r="L107" s="509"/>
      <c r="M107" s="509"/>
      <c r="N107" s="509"/>
      <c r="O107" s="509"/>
      <c r="P107" s="509"/>
      <c r="Q107" s="509"/>
      <c r="R107" s="509"/>
      <c r="S107" s="509"/>
    </row>
    <row r="108" spans="7:19" x14ac:dyDescent="0.2">
      <c r="G108" s="509"/>
      <c r="H108" s="509"/>
      <c r="I108" s="509"/>
      <c r="J108" s="509"/>
      <c r="K108" s="509"/>
      <c r="L108" s="509"/>
      <c r="M108" s="509"/>
      <c r="N108" s="509"/>
      <c r="O108" s="509"/>
      <c r="P108" s="509"/>
      <c r="Q108" s="509"/>
      <c r="R108" s="509"/>
      <c r="S108" s="509"/>
    </row>
    <row r="109" spans="7:19" x14ac:dyDescent="0.2">
      <c r="G109" s="509"/>
      <c r="H109" s="509"/>
      <c r="I109" s="509"/>
      <c r="J109" s="509"/>
      <c r="K109" s="509"/>
      <c r="L109" s="509"/>
      <c r="M109" s="509"/>
      <c r="N109" s="509"/>
      <c r="O109" s="509"/>
      <c r="P109" s="509"/>
      <c r="Q109" s="509"/>
      <c r="R109" s="509"/>
      <c r="S109" s="509"/>
    </row>
    <row r="110" spans="7:19" x14ac:dyDescent="0.2">
      <c r="G110" s="509"/>
      <c r="H110" s="509"/>
      <c r="I110" s="509"/>
      <c r="J110" s="509"/>
      <c r="K110" s="509"/>
      <c r="L110" s="509"/>
      <c r="M110" s="509"/>
      <c r="N110" s="509"/>
      <c r="O110" s="509"/>
      <c r="P110" s="509"/>
      <c r="Q110" s="509"/>
      <c r="R110" s="509"/>
      <c r="S110" s="509"/>
    </row>
    <row r="111" spans="7:19" x14ac:dyDescent="0.2">
      <c r="G111" s="509"/>
      <c r="H111" s="509"/>
      <c r="I111" s="509"/>
      <c r="J111" s="509"/>
      <c r="K111" s="509"/>
      <c r="L111" s="509"/>
      <c r="M111" s="509"/>
      <c r="N111" s="509"/>
      <c r="O111" s="509"/>
      <c r="P111" s="509"/>
      <c r="Q111" s="509"/>
      <c r="R111" s="509"/>
      <c r="S111" s="509"/>
    </row>
    <row r="112" spans="7:19" x14ac:dyDescent="0.2">
      <c r="G112" s="509"/>
      <c r="H112" s="509"/>
      <c r="I112" s="509"/>
      <c r="J112" s="509"/>
      <c r="K112" s="509"/>
      <c r="L112" s="509"/>
      <c r="M112" s="509"/>
      <c r="N112" s="509"/>
      <c r="O112" s="509"/>
      <c r="P112" s="509"/>
      <c r="Q112" s="509"/>
      <c r="R112" s="509"/>
      <c r="S112" s="509"/>
    </row>
    <row r="113" spans="7:19" x14ac:dyDescent="0.2">
      <c r="G113" s="509"/>
      <c r="H113" s="509"/>
      <c r="I113" s="509"/>
      <c r="J113" s="509"/>
      <c r="K113" s="509"/>
      <c r="L113" s="509"/>
      <c r="M113" s="509"/>
      <c r="N113" s="509"/>
      <c r="O113" s="509"/>
      <c r="P113" s="509"/>
      <c r="Q113" s="509"/>
      <c r="R113" s="509"/>
      <c r="S113" s="509"/>
    </row>
    <row r="114" spans="7:19" x14ac:dyDescent="0.2">
      <c r="G114" s="509"/>
      <c r="H114" s="509"/>
      <c r="I114" s="509"/>
      <c r="J114" s="509"/>
      <c r="K114" s="509"/>
      <c r="L114" s="509"/>
      <c r="M114" s="509"/>
      <c r="N114" s="509"/>
      <c r="O114" s="509"/>
      <c r="P114" s="509"/>
      <c r="Q114" s="509"/>
      <c r="R114" s="509"/>
      <c r="S114" s="509"/>
    </row>
    <row r="115" spans="7:19" x14ac:dyDescent="0.2">
      <c r="G115" s="509"/>
      <c r="H115" s="509"/>
      <c r="I115" s="509"/>
      <c r="J115" s="509"/>
      <c r="K115" s="509"/>
      <c r="L115" s="509"/>
      <c r="M115" s="509"/>
      <c r="N115" s="509"/>
      <c r="O115" s="509"/>
      <c r="P115" s="509"/>
      <c r="Q115" s="509"/>
      <c r="R115" s="509"/>
      <c r="S115" s="509"/>
    </row>
    <row r="116" spans="7:19" x14ac:dyDescent="0.2">
      <c r="G116" s="509"/>
      <c r="H116" s="509"/>
      <c r="I116" s="509"/>
      <c r="J116" s="509"/>
      <c r="K116" s="509"/>
      <c r="L116" s="509"/>
      <c r="M116" s="509"/>
      <c r="N116" s="509"/>
      <c r="O116" s="509"/>
      <c r="P116" s="509"/>
      <c r="Q116" s="509"/>
      <c r="R116" s="509"/>
      <c r="S116" s="509"/>
    </row>
    <row r="117" spans="7:19" x14ac:dyDescent="0.2">
      <c r="G117" s="509"/>
      <c r="H117" s="509"/>
      <c r="I117" s="509"/>
      <c r="J117" s="509"/>
      <c r="K117" s="509"/>
      <c r="L117" s="509"/>
      <c r="M117" s="509"/>
      <c r="N117" s="509"/>
      <c r="O117" s="509"/>
      <c r="P117" s="509"/>
      <c r="Q117" s="509"/>
      <c r="R117" s="509"/>
      <c r="S117" s="509"/>
    </row>
    <row r="118" spans="7:19" x14ac:dyDescent="0.2">
      <c r="G118" s="509"/>
      <c r="H118" s="509"/>
      <c r="I118" s="509"/>
      <c r="J118" s="509"/>
      <c r="K118" s="509"/>
      <c r="L118" s="509"/>
      <c r="M118" s="509"/>
      <c r="N118" s="509"/>
      <c r="O118" s="509"/>
      <c r="P118" s="509"/>
      <c r="Q118" s="509"/>
      <c r="R118" s="509"/>
      <c r="S118" s="509"/>
    </row>
    <row r="119" spans="7:19" x14ac:dyDescent="0.2">
      <c r="G119" s="509"/>
      <c r="H119" s="509"/>
      <c r="I119" s="509"/>
      <c r="J119" s="509"/>
      <c r="K119" s="509"/>
      <c r="L119" s="509"/>
      <c r="M119" s="509"/>
      <c r="N119" s="509"/>
      <c r="O119" s="509"/>
      <c r="P119" s="509"/>
      <c r="Q119" s="509"/>
      <c r="R119" s="509"/>
      <c r="S119" s="509"/>
    </row>
    <row r="120" spans="7:19" x14ac:dyDescent="0.2">
      <c r="G120" s="509"/>
      <c r="H120" s="509"/>
      <c r="I120" s="509"/>
      <c r="J120" s="509"/>
      <c r="K120" s="509"/>
      <c r="L120" s="509"/>
      <c r="M120" s="509"/>
      <c r="N120" s="509"/>
      <c r="O120" s="509"/>
      <c r="P120" s="509"/>
      <c r="Q120" s="509"/>
      <c r="R120" s="509"/>
      <c r="S120" s="509"/>
    </row>
    <row r="121" spans="7:19" x14ac:dyDescent="0.2">
      <c r="G121" s="509"/>
      <c r="H121" s="509"/>
      <c r="I121" s="509"/>
      <c r="J121" s="509"/>
      <c r="K121" s="509"/>
      <c r="L121" s="509"/>
      <c r="M121" s="509"/>
      <c r="N121" s="509"/>
      <c r="O121" s="509"/>
      <c r="P121" s="509"/>
      <c r="Q121" s="509"/>
      <c r="R121" s="509"/>
      <c r="S121" s="509"/>
    </row>
    <row r="122" spans="7:19" x14ac:dyDescent="0.2">
      <c r="G122" s="509"/>
      <c r="H122" s="509"/>
      <c r="I122" s="509"/>
      <c r="J122" s="509"/>
      <c r="K122" s="509"/>
      <c r="L122" s="509"/>
      <c r="M122" s="509"/>
      <c r="N122" s="509"/>
      <c r="O122" s="509"/>
      <c r="P122" s="509"/>
      <c r="Q122" s="509"/>
      <c r="R122" s="509"/>
      <c r="S122" s="509"/>
    </row>
    <row r="123" spans="7:19" x14ac:dyDescent="0.2">
      <c r="G123" s="509"/>
      <c r="H123" s="509"/>
      <c r="I123" s="509"/>
      <c r="J123" s="509"/>
      <c r="K123" s="509"/>
      <c r="L123" s="509"/>
      <c r="M123" s="509"/>
      <c r="N123" s="509"/>
      <c r="O123" s="509"/>
      <c r="P123" s="509"/>
      <c r="Q123" s="509"/>
      <c r="R123" s="509"/>
      <c r="S123" s="509"/>
    </row>
    <row r="124" spans="7:19" x14ac:dyDescent="0.2">
      <c r="G124" s="509"/>
      <c r="H124" s="509"/>
      <c r="I124" s="509"/>
      <c r="J124" s="509"/>
      <c r="K124" s="509"/>
      <c r="L124" s="509"/>
      <c r="M124" s="509"/>
      <c r="N124" s="509"/>
      <c r="O124" s="509"/>
      <c r="P124" s="509"/>
      <c r="Q124" s="509"/>
      <c r="R124" s="509"/>
      <c r="S124" s="509"/>
    </row>
    <row r="125" spans="7:19" x14ac:dyDescent="0.2">
      <c r="G125" s="509"/>
      <c r="H125" s="509"/>
      <c r="I125" s="509"/>
      <c r="J125" s="509"/>
      <c r="K125" s="509"/>
      <c r="L125" s="509"/>
      <c r="M125" s="509"/>
      <c r="N125" s="509"/>
      <c r="O125" s="509"/>
      <c r="P125" s="509"/>
      <c r="Q125" s="509"/>
      <c r="R125" s="509"/>
      <c r="S125" s="509"/>
    </row>
    <row r="126" spans="7:19" x14ac:dyDescent="0.2">
      <c r="G126" s="509"/>
      <c r="H126" s="509"/>
      <c r="I126" s="509"/>
      <c r="J126" s="509"/>
      <c r="K126" s="509"/>
      <c r="L126" s="509"/>
      <c r="M126" s="509"/>
      <c r="N126" s="509"/>
      <c r="O126" s="509"/>
      <c r="P126" s="509"/>
      <c r="Q126" s="509"/>
      <c r="R126" s="509"/>
      <c r="S126" s="509"/>
    </row>
    <row r="127" spans="7:19" x14ac:dyDescent="0.2">
      <c r="G127" s="509"/>
      <c r="H127" s="509"/>
      <c r="I127" s="509"/>
      <c r="J127" s="509"/>
      <c r="K127" s="509"/>
      <c r="L127" s="509"/>
      <c r="M127" s="509"/>
      <c r="N127" s="509"/>
      <c r="O127" s="509"/>
      <c r="P127" s="509"/>
      <c r="Q127" s="509"/>
      <c r="R127" s="509"/>
      <c r="S127" s="509"/>
    </row>
    <row r="128" spans="7:19" x14ac:dyDescent="0.2">
      <c r="G128" s="509"/>
      <c r="H128" s="509"/>
      <c r="I128" s="509"/>
      <c r="J128" s="509"/>
      <c r="K128" s="509"/>
      <c r="L128" s="509"/>
      <c r="M128" s="509"/>
      <c r="N128" s="509"/>
      <c r="O128" s="509"/>
      <c r="P128" s="509"/>
      <c r="Q128" s="509"/>
      <c r="R128" s="509"/>
      <c r="S128" s="509"/>
    </row>
    <row r="129" spans="7:19" x14ac:dyDescent="0.2">
      <c r="G129" s="509"/>
      <c r="H129" s="509"/>
      <c r="I129" s="509"/>
      <c r="J129" s="509"/>
      <c r="K129" s="509"/>
      <c r="L129" s="509"/>
      <c r="M129" s="509"/>
      <c r="N129" s="509"/>
      <c r="O129" s="509"/>
      <c r="P129" s="509"/>
      <c r="Q129" s="509"/>
      <c r="R129" s="509"/>
      <c r="S129" s="509"/>
    </row>
    <row r="130" spans="7:19" x14ac:dyDescent="0.2">
      <c r="G130" s="509"/>
      <c r="H130" s="509"/>
      <c r="I130" s="509"/>
      <c r="J130" s="509"/>
      <c r="K130" s="509"/>
      <c r="L130" s="509"/>
      <c r="M130" s="509"/>
      <c r="N130" s="509"/>
      <c r="O130" s="509"/>
      <c r="P130" s="509"/>
      <c r="Q130" s="509"/>
      <c r="R130" s="509"/>
      <c r="S130" s="509"/>
    </row>
    <row r="131" spans="7:19" x14ac:dyDescent="0.2">
      <c r="G131" s="509"/>
      <c r="H131" s="509"/>
      <c r="I131" s="509"/>
      <c r="J131" s="509"/>
      <c r="K131" s="509"/>
      <c r="L131" s="509"/>
      <c r="M131" s="509"/>
      <c r="N131" s="509"/>
      <c r="O131" s="509"/>
      <c r="P131" s="509"/>
      <c r="Q131" s="509"/>
      <c r="R131" s="509"/>
      <c r="S131" s="509"/>
    </row>
    <row r="132" spans="7:19" x14ac:dyDescent="0.2">
      <c r="G132" s="509"/>
      <c r="H132" s="509"/>
      <c r="I132" s="509"/>
      <c r="J132" s="509"/>
      <c r="K132" s="509"/>
      <c r="L132" s="509"/>
      <c r="M132" s="509"/>
      <c r="N132" s="509"/>
      <c r="O132" s="509"/>
      <c r="P132" s="509"/>
      <c r="Q132" s="509"/>
      <c r="R132" s="509"/>
      <c r="S132" s="509"/>
    </row>
    <row r="133" spans="7:19" x14ac:dyDescent="0.2">
      <c r="G133" s="509"/>
      <c r="H133" s="509"/>
      <c r="I133" s="509"/>
      <c r="J133" s="509"/>
      <c r="K133" s="509"/>
      <c r="L133" s="509"/>
      <c r="M133" s="509"/>
      <c r="N133" s="509"/>
      <c r="O133" s="509"/>
      <c r="P133" s="509"/>
      <c r="Q133" s="509"/>
      <c r="R133" s="509"/>
      <c r="S133" s="509"/>
    </row>
    <row r="134" spans="7:19" x14ac:dyDescent="0.2">
      <c r="G134" s="509"/>
      <c r="H134" s="509"/>
      <c r="I134" s="509"/>
      <c r="J134" s="509"/>
      <c r="K134" s="509"/>
      <c r="L134" s="509"/>
      <c r="M134" s="509"/>
      <c r="N134" s="509"/>
      <c r="O134" s="509"/>
      <c r="P134" s="509"/>
      <c r="Q134" s="509"/>
      <c r="R134" s="509"/>
      <c r="S134" s="509"/>
    </row>
    <row r="135" spans="7:19" x14ac:dyDescent="0.2">
      <c r="G135" s="509"/>
      <c r="H135" s="509"/>
      <c r="I135" s="509"/>
      <c r="J135" s="509"/>
      <c r="K135" s="509"/>
      <c r="L135" s="509"/>
      <c r="M135" s="509"/>
      <c r="N135" s="509"/>
      <c r="O135" s="509"/>
      <c r="P135" s="509"/>
      <c r="Q135" s="509"/>
      <c r="R135" s="509"/>
      <c r="S135" s="509"/>
    </row>
    <row r="136" spans="7:19" x14ac:dyDescent="0.2">
      <c r="G136" s="509"/>
      <c r="H136" s="509"/>
      <c r="I136" s="509"/>
      <c r="J136" s="509"/>
      <c r="K136" s="509"/>
      <c r="L136" s="509"/>
      <c r="M136" s="509"/>
      <c r="N136" s="509"/>
      <c r="O136" s="509"/>
      <c r="P136" s="509"/>
      <c r="Q136" s="509"/>
      <c r="R136" s="509"/>
      <c r="S136" s="509"/>
    </row>
    <row r="137" spans="7:19" x14ac:dyDescent="0.2">
      <c r="G137" s="509"/>
      <c r="H137" s="509"/>
      <c r="I137" s="509"/>
      <c r="J137" s="509"/>
      <c r="K137" s="509"/>
      <c r="L137" s="509"/>
      <c r="M137" s="509"/>
      <c r="N137" s="509"/>
      <c r="O137" s="509"/>
      <c r="P137" s="509"/>
      <c r="Q137" s="509"/>
      <c r="R137" s="509"/>
      <c r="S137" s="509"/>
    </row>
    <row r="138" spans="7:19" x14ac:dyDescent="0.2">
      <c r="G138" s="509"/>
      <c r="H138" s="509"/>
      <c r="I138" s="509"/>
      <c r="J138" s="509"/>
      <c r="K138" s="509"/>
      <c r="L138" s="509"/>
      <c r="M138" s="509"/>
      <c r="N138" s="509"/>
      <c r="O138" s="509"/>
      <c r="P138" s="509"/>
      <c r="Q138" s="509"/>
      <c r="R138" s="509"/>
      <c r="S138" s="509"/>
    </row>
    <row r="139" spans="7:19" x14ac:dyDescent="0.2">
      <c r="G139" s="509"/>
      <c r="H139" s="509"/>
      <c r="I139" s="509"/>
      <c r="J139" s="509"/>
      <c r="K139" s="509"/>
      <c r="L139" s="509"/>
      <c r="M139" s="509"/>
      <c r="N139" s="509"/>
      <c r="O139" s="509"/>
      <c r="P139" s="509"/>
      <c r="Q139" s="509"/>
      <c r="R139" s="509"/>
      <c r="S139" s="509"/>
    </row>
    <row r="140" spans="7:19" x14ac:dyDescent="0.2">
      <c r="G140" s="509"/>
      <c r="H140" s="509"/>
      <c r="I140" s="509"/>
      <c r="J140" s="509"/>
      <c r="K140" s="509"/>
      <c r="L140" s="509"/>
      <c r="M140" s="509"/>
      <c r="N140" s="509"/>
      <c r="O140" s="509"/>
      <c r="P140" s="509"/>
      <c r="Q140" s="509"/>
      <c r="R140" s="509"/>
      <c r="S140" s="509"/>
    </row>
    <row r="141" spans="7:19" x14ac:dyDescent="0.2">
      <c r="S141" s="509"/>
    </row>
    <row r="142" spans="7:19" x14ac:dyDescent="0.2">
      <c r="S142" s="509"/>
    </row>
    <row r="143" spans="7:19" x14ac:dyDescent="0.2">
      <c r="S143" s="509"/>
    </row>
    <row r="144" spans="7:19" x14ac:dyDescent="0.2">
      <c r="S144" s="509"/>
    </row>
    <row r="145" spans="19:19" x14ac:dyDescent="0.2">
      <c r="S145" s="509"/>
    </row>
    <row r="146" spans="19:19" x14ac:dyDescent="0.2">
      <c r="S146" s="509"/>
    </row>
    <row r="147" spans="19:19" x14ac:dyDescent="0.2">
      <c r="S147" s="509"/>
    </row>
    <row r="148" spans="19:19" x14ac:dyDescent="0.2">
      <c r="S148" s="509"/>
    </row>
    <row r="149" spans="19:19" x14ac:dyDescent="0.2">
      <c r="S149" s="509"/>
    </row>
    <row r="150" spans="19:19" x14ac:dyDescent="0.2">
      <c r="S150" s="509"/>
    </row>
    <row r="151" spans="19:19" x14ac:dyDescent="0.2">
      <c r="S151" s="509"/>
    </row>
    <row r="152" spans="19:19" x14ac:dyDescent="0.2">
      <c r="S152" s="509"/>
    </row>
    <row r="153" spans="19:19" x14ac:dyDescent="0.2">
      <c r="S153" s="509"/>
    </row>
    <row r="154" spans="19:19" x14ac:dyDescent="0.2">
      <c r="S154" s="509"/>
    </row>
    <row r="155" spans="19:19" x14ac:dyDescent="0.2">
      <c r="S155" s="509"/>
    </row>
    <row r="156" spans="19:19" x14ac:dyDescent="0.2">
      <c r="S156" s="509"/>
    </row>
    <row r="157" spans="19:19" x14ac:dyDescent="0.2">
      <c r="S157" s="509"/>
    </row>
    <row r="158" spans="19:19" x14ac:dyDescent="0.2">
      <c r="S158" s="509"/>
    </row>
    <row r="159" spans="19:19" x14ac:dyDescent="0.2">
      <c r="S159" s="509"/>
    </row>
    <row r="160" spans="19:19" x14ac:dyDescent="0.2">
      <c r="S160" s="509"/>
    </row>
    <row r="161" spans="19:19" x14ac:dyDescent="0.2">
      <c r="S161" s="509"/>
    </row>
    <row r="162" spans="19:19" x14ac:dyDescent="0.2">
      <c r="S162" s="509"/>
    </row>
    <row r="163" spans="19:19" x14ac:dyDescent="0.2">
      <c r="S163" s="509"/>
    </row>
    <row r="164" spans="19:19" x14ac:dyDescent="0.2">
      <c r="S164" s="509"/>
    </row>
    <row r="165" spans="19:19" x14ac:dyDescent="0.2">
      <c r="S165" s="509"/>
    </row>
    <row r="166" spans="19:19" x14ac:dyDescent="0.2">
      <c r="S166" s="509"/>
    </row>
    <row r="167" spans="19:19" x14ac:dyDescent="0.2">
      <c r="S167" s="509"/>
    </row>
    <row r="168" spans="19:19" x14ac:dyDescent="0.2">
      <c r="S168" s="509"/>
    </row>
    <row r="169" spans="19:19" x14ac:dyDescent="0.2">
      <c r="S169" s="509"/>
    </row>
    <row r="170" spans="19:19" x14ac:dyDescent="0.2">
      <c r="S170" s="509"/>
    </row>
    <row r="171" spans="19:19" x14ac:dyDescent="0.2">
      <c r="S171" s="509"/>
    </row>
    <row r="172" spans="19:19" x14ac:dyDescent="0.2">
      <c r="S172" s="509"/>
    </row>
    <row r="173" spans="19:19" x14ac:dyDescent="0.2">
      <c r="S173" s="509"/>
    </row>
    <row r="174" spans="19:19" x14ac:dyDescent="0.2">
      <c r="S174" s="509"/>
    </row>
    <row r="175" spans="19:19" x14ac:dyDescent="0.2">
      <c r="S175" s="509"/>
    </row>
    <row r="176" spans="19:19" x14ac:dyDescent="0.2">
      <c r="S176" s="509"/>
    </row>
    <row r="177" spans="19:19" x14ac:dyDescent="0.2">
      <c r="S177" s="509"/>
    </row>
    <row r="178" spans="19:19" x14ac:dyDescent="0.2">
      <c r="S178" s="509"/>
    </row>
    <row r="179" spans="19:19" x14ac:dyDescent="0.2">
      <c r="S179" s="509"/>
    </row>
    <row r="180" spans="19:19" x14ac:dyDescent="0.2">
      <c r="S180" s="509"/>
    </row>
    <row r="181" spans="19:19" x14ac:dyDescent="0.2">
      <c r="S181" s="509"/>
    </row>
    <row r="182" spans="19:19" x14ac:dyDescent="0.2">
      <c r="S182" s="509"/>
    </row>
    <row r="183" spans="19:19" x14ac:dyDescent="0.2">
      <c r="S183" s="509"/>
    </row>
    <row r="184" spans="19:19" x14ac:dyDescent="0.2">
      <c r="S184" s="509"/>
    </row>
    <row r="185" spans="19:19" x14ac:dyDescent="0.2">
      <c r="S185" s="509"/>
    </row>
    <row r="186" spans="19:19" x14ac:dyDescent="0.2">
      <c r="S186" s="509"/>
    </row>
    <row r="187" spans="19:19" x14ac:dyDescent="0.2">
      <c r="S187" s="509"/>
    </row>
    <row r="188" spans="19:19" x14ac:dyDescent="0.2">
      <c r="S188" s="509"/>
    </row>
    <row r="189" spans="19:19" x14ac:dyDescent="0.2">
      <c r="S189" s="509"/>
    </row>
    <row r="190" spans="19:19" x14ac:dyDescent="0.2">
      <c r="S190" s="509"/>
    </row>
    <row r="191" spans="19:19" x14ac:dyDescent="0.2">
      <c r="S191" s="509"/>
    </row>
    <row r="192" spans="19:19" x14ac:dyDescent="0.2">
      <c r="S192" s="509"/>
    </row>
    <row r="193" spans="19:19" x14ac:dyDescent="0.2">
      <c r="S193" s="509"/>
    </row>
    <row r="194" spans="19:19" x14ac:dyDescent="0.2">
      <c r="S194" s="509"/>
    </row>
    <row r="195" spans="19:19" x14ac:dyDescent="0.2">
      <c r="S195" s="509"/>
    </row>
    <row r="196" spans="19:19" x14ac:dyDescent="0.2">
      <c r="S196" s="509"/>
    </row>
    <row r="197" spans="19:19" x14ac:dyDescent="0.2">
      <c r="S197" s="509"/>
    </row>
    <row r="198" spans="19:19" x14ac:dyDescent="0.2">
      <c r="S198" s="509"/>
    </row>
    <row r="199" spans="19:19" x14ac:dyDescent="0.2">
      <c r="S199" s="509"/>
    </row>
    <row r="200" spans="19:19" x14ac:dyDescent="0.2">
      <c r="S200" s="509"/>
    </row>
    <row r="201" spans="19:19" x14ac:dyDescent="0.2">
      <c r="S201" s="509"/>
    </row>
    <row r="202" spans="19:19" x14ac:dyDescent="0.2">
      <c r="S202" s="509"/>
    </row>
    <row r="203" spans="19:19" x14ac:dyDescent="0.2">
      <c r="S203" s="509"/>
    </row>
    <row r="204" spans="19:19" x14ac:dyDescent="0.2">
      <c r="S204" s="509"/>
    </row>
    <row r="205" spans="19:19" x14ac:dyDescent="0.2">
      <c r="S205" s="509"/>
    </row>
    <row r="206" spans="19:19" x14ac:dyDescent="0.2">
      <c r="S206" s="509"/>
    </row>
    <row r="207" spans="19:19" x14ac:dyDescent="0.2">
      <c r="S207" s="509"/>
    </row>
    <row r="208" spans="19:19" x14ac:dyDescent="0.2">
      <c r="S208" s="509"/>
    </row>
    <row r="209" spans="19:19" x14ac:dyDescent="0.2">
      <c r="S209" s="509"/>
    </row>
    <row r="210" spans="19:19" x14ac:dyDescent="0.2">
      <c r="S210" s="509"/>
    </row>
    <row r="211" spans="19:19" x14ac:dyDescent="0.2">
      <c r="S211" s="509"/>
    </row>
    <row r="212" spans="19:19" x14ac:dyDescent="0.2">
      <c r="S212" s="509"/>
    </row>
    <row r="213" spans="19:19" x14ac:dyDescent="0.2">
      <c r="S213" s="509"/>
    </row>
    <row r="214" spans="19:19" x14ac:dyDescent="0.2">
      <c r="S214" s="509"/>
    </row>
    <row r="215" spans="19:19" x14ac:dyDescent="0.2">
      <c r="S215" s="509"/>
    </row>
    <row r="216" spans="19:19" x14ac:dyDescent="0.2">
      <c r="S216" s="509"/>
    </row>
    <row r="217" spans="19:19" x14ac:dyDescent="0.2">
      <c r="S217" s="509"/>
    </row>
  </sheetData>
  <mergeCells count="1">
    <mergeCell ref="F2:S2"/>
  </mergeCells>
  <pageMargins left="0.7" right="0.7" top="0.75" bottom="0.75" header="0.3" footer="0.3"/>
  <pageSetup paperSize="9" scale="38"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1168"/>
  <sheetViews>
    <sheetView view="pageBreakPreview" topLeftCell="G50" zoomScale="120" zoomScaleNormal="100" zoomScaleSheetLayoutView="120" workbookViewId="0">
      <selection activeCell="I128" sqref="I128"/>
    </sheetView>
  </sheetViews>
  <sheetFormatPr defaultColWidth="9.140625" defaultRowHeight="12.75" x14ac:dyDescent="0.2"/>
  <cols>
    <col min="1" max="4" width="0.85546875" style="1" customWidth="1"/>
    <col min="5" max="5" width="50.7109375" style="1" customWidth="1"/>
    <col min="6" max="6" width="3.42578125" style="1" customWidth="1"/>
    <col min="7" max="7" width="3.5703125" style="1" customWidth="1"/>
    <col min="8" max="8" width="15.28515625" style="1" customWidth="1"/>
    <col min="9" max="10" width="15" style="1" customWidth="1"/>
    <col min="11" max="11" width="13.5703125" style="1" customWidth="1"/>
    <col min="12" max="15" width="13.7109375" style="1" customWidth="1"/>
    <col min="16" max="16" width="15.42578125" style="1" customWidth="1"/>
    <col min="17" max="17" width="15.140625" style="1" customWidth="1"/>
    <col min="18" max="18" width="14.7109375" style="1" customWidth="1"/>
    <col min="19" max="20" width="13.7109375" style="1" hidden="1" customWidth="1"/>
    <col min="21" max="21" width="15.140625" style="1" customWidth="1"/>
    <col min="22" max="22" width="2.28515625" style="1" customWidth="1"/>
    <col min="23" max="25" width="14" style="1" hidden="1" customWidth="1"/>
    <col min="26" max="26" width="13.42578125" style="1" hidden="1" customWidth="1"/>
    <col min="27" max="27" width="11.42578125" style="1" hidden="1" customWidth="1"/>
    <col min="28" max="28" width="9.7109375" style="1" hidden="1" customWidth="1"/>
    <col min="29" max="30" width="12.7109375" style="1" hidden="1" customWidth="1"/>
    <col min="31" max="31" width="14.5703125" style="1" hidden="1" customWidth="1"/>
    <col min="32" max="40" width="6.7109375" style="1" hidden="1" customWidth="1"/>
    <col min="41" max="41" width="9.5703125" style="1" hidden="1" customWidth="1"/>
    <col min="42" max="42" width="12.5703125" style="1" bestFit="1" customWidth="1"/>
    <col min="43" max="16384" width="9.140625" style="1"/>
  </cols>
  <sheetData>
    <row r="1" spans="1:36" ht="12.75" customHeight="1" x14ac:dyDescent="0.2"/>
    <row r="2" spans="1:36" ht="12.75" customHeight="1" x14ac:dyDescent="0.2">
      <c r="A2" s="2" t="s">
        <v>0</v>
      </c>
      <c r="B2" s="2"/>
      <c r="C2" s="2"/>
      <c r="D2" s="3"/>
      <c r="F2" s="2"/>
      <c r="G2" s="3"/>
      <c r="I2" s="3"/>
      <c r="K2" s="3"/>
      <c r="M2" s="3"/>
    </row>
    <row r="3" spans="1:36" ht="12.75" customHeight="1" x14ac:dyDescent="0.2">
      <c r="A3" s="4"/>
      <c r="B3" s="5"/>
      <c r="C3" s="5"/>
      <c r="D3" s="5"/>
      <c r="E3" s="5"/>
      <c r="F3" s="5"/>
      <c r="G3" s="6"/>
      <c r="H3" s="615" t="s">
        <v>1</v>
      </c>
      <c r="I3" s="616"/>
      <c r="J3" s="616"/>
      <c r="K3" s="616"/>
      <c r="L3" s="616"/>
      <c r="M3" s="616"/>
      <c r="N3" s="616"/>
      <c r="O3" s="616"/>
      <c r="P3" s="616"/>
      <c r="Q3" s="616"/>
      <c r="R3" s="616"/>
      <c r="S3" s="616"/>
      <c r="T3" s="616"/>
      <c r="U3" s="616"/>
      <c r="V3" s="7"/>
      <c r="W3" s="8"/>
      <c r="X3" s="8"/>
      <c r="Y3" s="8"/>
      <c r="Z3" s="9"/>
      <c r="AJ3" s="9"/>
    </row>
    <row r="4" spans="1:36" ht="12.75" customHeight="1" x14ac:dyDescent="0.2">
      <c r="A4" s="9"/>
      <c r="C4" s="10"/>
      <c r="E4" s="10"/>
      <c r="F4" s="10"/>
      <c r="G4" s="11"/>
      <c r="H4" s="12" t="s">
        <v>3</v>
      </c>
      <c r="I4" s="13" t="s">
        <v>4</v>
      </c>
      <c r="J4" s="13" t="s">
        <v>5</v>
      </c>
      <c r="K4" s="13" t="s">
        <v>6</v>
      </c>
      <c r="L4" s="13" t="s">
        <v>7</v>
      </c>
      <c r="M4" s="13" t="s">
        <v>8</v>
      </c>
      <c r="N4" s="13" t="s">
        <v>9</v>
      </c>
      <c r="O4" s="13" t="s">
        <v>10</v>
      </c>
      <c r="P4" s="13" t="s">
        <v>11</v>
      </c>
      <c r="Q4" s="13" t="s">
        <v>12</v>
      </c>
      <c r="R4" s="13" t="s">
        <v>13</v>
      </c>
      <c r="S4" s="13" t="s">
        <v>14</v>
      </c>
      <c r="T4" s="13" t="s">
        <v>15</v>
      </c>
      <c r="U4" s="14" t="s">
        <v>16</v>
      </c>
      <c r="V4" s="18"/>
      <c r="W4" s="19"/>
      <c r="X4" s="19"/>
      <c r="Y4" s="19"/>
      <c r="Z4" s="9"/>
    </row>
    <row r="5" spans="1:36" ht="12.75" customHeight="1" x14ac:dyDescent="0.2">
      <c r="A5" s="20" t="s">
        <v>17</v>
      </c>
      <c r="B5" s="21"/>
      <c r="C5" s="21"/>
      <c r="D5" s="21"/>
      <c r="E5" s="21"/>
      <c r="F5" s="21"/>
      <c r="G5" s="22"/>
      <c r="H5" s="23" t="s">
        <v>18</v>
      </c>
      <c r="I5" s="24"/>
      <c r="J5" s="25"/>
      <c r="K5" s="26"/>
      <c r="L5" s="26"/>
      <c r="M5" s="26"/>
      <c r="N5" s="26"/>
      <c r="O5" s="26"/>
      <c r="P5" s="26"/>
      <c r="Q5" s="26"/>
      <c r="R5" s="26"/>
      <c r="S5" s="26"/>
      <c r="T5" s="26"/>
      <c r="U5" s="27"/>
      <c r="V5" s="18"/>
      <c r="W5" s="19"/>
      <c r="X5" s="19"/>
      <c r="Y5" s="19"/>
      <c r="Z5" s="9"/>
    </row>
    <row r="6" spans="1:36" s="32" customFormat="1" ht="12.75" customHeight="1" x14ac:dyDescent="0.2">
      <c r="A6" s="30"/>
      <c r="B6" s="10" t="s">
        <v>19</v>
      </c>
      <c r="C6" s="31"/>
      <c r="E6" s="31"/>
      <c r="F6" s="33"/>
      <c r="G6" s="34"/>
      <c r="H6" s="13">
        <f>+H7+H14+H15+H16+H17+H19+H20</f>
        <v>640300091.14199996</v>
      </c>
      <c r="I6" s="13">
        <f>+I7+I14+I15+I16+I17+I19+I20</f>
        <v>44502247.688879997</v>
      </c>
      <c r="J6" s="35">
        <f t="shared" ref="J6:T6" si="0">+J7+J14+J15+J16+J17+J19+J20</f>
        <v>40267541.448380001</v>
      </c>
      <c r="K6" s="36">
        <f t="shared" si="0"/>
        <v>75893153.321600005</v>
      </c>
      <c r="L6" s="36">
        <f t="shared" si="0"/>
        <v>38199166.259870008</v>
      </c>
      <c r="M6" s="36">
        <f t="shared" si="0"/>
        <v>54625199.190710008</v>
      </c>
      <c r="N6" s="36">
        <f t="shared" si="0"/>
        <v>54199269.159560002</v>
      </c>
      <c r="O6" s="36">
        <f t="shared" si="0"/>
        <v>41509113.366560005</v>
      </c>
      <c r="P6" s="36">
        <f t="shared" si="0"/>
        <v>42477963.018860005</v>
      </c>
      <c r="Q6" s="36">
        <f>+Q7+Q14+Q15+Q16+Q17+Q19+Q20</f>
        <v>113137906.21742998</v>
      </c>
      <c r="R6" s="36">
        <f t="shared" si="0"/>
        <v>48426034.441939987</v>
      </c>
      <c r="S6" s="36">
        <f t="shared" si="0"/>
        <v>0</v>
      </c>
      <c r="T6" s="36">
        <f t="shared" si="0"/>
        <v>0</v>
      </c>
      <c r="U6" s="14">
        <f>+U7+U14+U15+U16+U17+U19+U20</f>
        <v>553237594.11379004</v>
      </c>
      <c r="V6" s="18"/>
      <c r="W6" s="19"/>
      <c r="X6" s="19"/>
      <c r="Y6" s="19"/>
      <c r="Z6" s="37">
        <f>H6-U6</f>
        <v>87062497.028209925</v>
      </c>
    </row>
    <row r="7" spans="1:36" ht="12.75" customHeight="1" x14ac:dyDescent="0.2">
      <c r="A7" s="9"/>
      <c r="C7" s="1" t="s">
        <v>20</v>
      </c>
      <c r="F7" s="10"/>
      <c r="G7" s="11"/>
      <c r="H7" s="38">
        <f>(+H8+H9+H10+H11+H12)</f>
        <v>454156238.69099998</v>
      </c>
      <c r="I7" s="38">
        <f>(+I8+I9+I10+I11+I12)</f>
        <v>41615902.929719999</v>
      </c>
      <c r="J7" s="38">
        <f t="shared" ref="J7:T7" si="1">(+J8+J9+J10+J11+J12)</f>
        <v>36192555.250660002</v>
      </c>
      <c r="K7" s="39">
        <f t="shared" si="1"/>
        <v>33797792.299890004</v>
      </c>
      <c r="L7" s="39">
        <f t="shared" si="1"/>
        <v>34826342.628380008</v>
      </c>
      <c r="M7" s="39">
        <f t="shared" si="1"/>
        <v>36297897.417770006</v>
      </c>
      <c r="N7" s="39">
        <f t="shared" si="1"/>
        <v>35952831.695350006</v>
      </c>
      <c r="O7" s="39">
        <f t="shared" si="1"/>
        <v>37860117.452960007</v>
      </c>
      <c r="P7" s="39">
        <f t="shared" si="1"/>
        <v>38487473.443060003</v>
      </c>
      <c r="Q7" s="39">
        <f t="shared" si="1"/>
        <v>45457888.316809997</v>
      </c>
      <c r="R7" s="39">
        <f t="shared" si="1"/>
        <v>44037920.551440001</v>
      </c>
      <c r="S7" s="39">
        <f t="shared" si="1"/>
        <v>0</v>
      </c>
      <c r="T7" s="39">
        <f t="shared" si="1"/>
        <v>0</v>
      </c>
      <c r="U7" s="40">
        <f>(+U8+U9+U10+U11+U12)</f>
        <v>384526721.98604006</v>
      </c>
      <c r="V7" s="42"/>
      <c r="W7" s="43"/>
      <c r="X7" s="43"/>
      <c r="Y7" s="43"/>
      <c r="Z7" s="44">
        <f>H7-U7</f>
        <v>69629516.704959929</v>
      </c>
      <c r="AA7" s="1" t="e">
        <f>+#REF!-#REF!</f>
        <v>#REF!</v>
      </c>
      <c r="AB7" s="1">
        <v>170898.13723003864</v>
      </c>
    </row>
    <row r="8" spans="1:36" ht="12.75" customHeight="1" x14ac:dyDescent="0.2">
      <c r="A8" s="9"/>
      <c r="B8" s="10"/>
      <c r="E8" s="606" t="s">
        <v>21</v>
      </c>
      <c r="F8" s="606"/>
      <c r="G8" s="607"/>
      <c r="H8" s="39">
        <v>37710000.431000002</v>
      </c>
      <c r="I8" s="38">
        <v>532955.74387999997</v>
      </c>
      <c r="J8" s="43">
        <f>629316.68601-532956+534747</f>
        <v>631107.68600999995</v>
      </c>
      <c r="K8" s="41">
        <f>720104.87132-1164063+1166249</f>
        <v>722290.87132000003</v>
      </c>
      <c r="L8" s="41">
        <f>764881.78328-1886354+1890214</f>
        <v>768741.78328000009</v>
      </c>
      <c r="M8" s="41">
        <f>8709341.33208-2655096+2658352</f>
        <v>8712597.3320799991</v>
      </c>
      <c r="N8" s="41">
        <f>2109667.74589-11367693+11366540</f>
        <v>2108514.745889999</v>
      </c>
      <c r="O8" s="41">
        <f>1459243.92581-13476208+13488175</f>
        <v>1471210.9258099999</v>
      </c>
      <c r="P8" s="41">
        <f>1761936.68629-14947419+14953936</f>
        <v>1768453.6862899996</v>
      </c>
      <c r="Q8" s="41">
        <f>1442146.83107-16715873+16720004</f>
        <v>1446277.8310700003</v>
      </c>
      <c r="R8" s="41">
        <f>1541675.40638-18162151+18171172</f>
        <v>1550696.4063799996</v>
      </c>
      <c r="S8" s="41">
        <v>0</v>
      </c>
      <c r="T8" s="41">
        <v>0</v>
      </c>
      <c r="U8" s="40">
        <f>SUM(I8:T8)</f>
        <v>19712847.012009993</v>
      </c>
      <c r="V8" s="42"/>
      <c r="W8" s="43"/>
      <c r="X8" s="43"/>
      <c r="Y8" s="43"/>
      <c r="Z8" s="44">
        <f>H8-U8</f>
        <v>17997153.418990009</v>
      </c>
      <c r="AA8" s="1" t="e">
        <f>+#REF!-#REF!</f>
        <v>#REF!</v>
      </c>
      <c r="AB8" s="1">
        <v>170760.4681699872</v>
      </c>
    </row>
    <row r="9" spans="1:36" ht="12.75" customHeight="1" x14ac:dyDescent="0.2">
      <c r="A9" s="9"/>
      <c r="B9" s="10"/>
      <c r="E9" s="1" t="s">
        <v>22</v>
      </c>
      <c r="F9" s="10"/>
      <c r="G9" s="38"/>
      <c r="H9" s="39">
        <v>453881752.30800003</v>
      </c>
      <c r="I9" s="38">
        <v>41692107.038860001</v>
      </c>
      <c r="J9" s="43">
        <f>37255109.59198-41692107+41692107</f>
        <v>37255109.591980003</v>
      </c>
      <c r="K9" s="41">
        <f>34481178.62707-78947217+78947217</f>
        <v>34481178.627070002</v>
      </c>
      <c r="L9" s="41">
        <f>36096742.5331-113428395+113428395</f>
        <v>36096742.533100009</v>
      </c>
      <c r="M9" s="41">
        <f>37366127.87103-149525138+149525138</f>
        <v>37366127.871030003</v>
      </c>
      <c r="N9" s="41">
        <f>39332802.73587-186891266+186891266</f>
        <v>39332802.735870004</v>
      </c>
      <c r="O9" s="41">
        <f>40894525.01229-226224068+226224068</f>
        <v>40894525.012290001</v>
      </c>
      <c r="P9" s="41">
        <f>40881736.10405-267118593+267118593</f>
        <v>40881736.10405001</v>
      </c>
      <c r="Q9" s="41">
        <f>47007550.11528-308000330+308000330</f>
        <v>47007550.115280002</v>
      </c>
      <c r="R9" s="41">
        <f>44996207.89853-355007880+355007880</f>
        <v>44996207.898530006</v>
      </c>
      <c r="S9" s="41">
        <v>0</v>
      </c>
      <c r="T9" s="41">
        <v>0</v>
      </c>
      <c r="U9" s="40">
        <f>SUM(I9:T9)</f>
        <v>400004087.52806008</v>
      </c>
      <c r="V9" s="42"/>
      <c r="W9" s="43"/>
      <c r="X9" s="43"/>
      <c r="Y9" s="43"/>
      <c r="Z9" s="44">
        <f>H9-U9</f>
        <v>53877664.77993995</v>
      </c>
      <c r="AA9" s="1" t="e">
        <f>+#REF!-#REF!</f>
        <v>#REF!</v>
      </c>
      <c r="AB9" s="1">
        <v>-0.62007993459701538</v>
      </c>
    </row>
    <row r="10" spans="1:36" ht="12.75" customHeight="1" x14ac:dyDescent="0.25">
      <c r="A10" s="9"/>
      <c r="B10" s="10"/>
      <c r="E10" s="617" t="s">
        <v>23</v>
      </c>
      <c r="F10" s="618"/>
      <c r="G10" s="619"/>
      <c r="H10" s="39">
        <v>-6448217.3569999998</v>
      </c>
      <c r="I10" s="38">
        <v>-50673.258329999997</v>
      </c>
      <c r="J10" s="43">
        <f>-835644.90192-50673 +50673</f>
        <v>-835644.90191999997</v>
      </c>
      <c r="K10" s="41">
        <f>-542577.35311-886318+886318</f>
        <v>-542577.35311000003</v>
      </c>
      <c r="L10" s="41">
        <f>-630563.10416-1428896+1428895+1</f>
        <v>-630563.1041600001</v>
      </c>
      <c r="M10" s="41">
        <f>-721237.6477-2059459+2059457</f>
        <v>-721239.64770000009</v>
      </c>
      <c r="N10" s="41">
        <f>-528888.24427+2780698-2780696</f>
        <v>-528886.24427000014</v>
      </c>
      <c r="O10" s="41">
        <f>-376226.14927-3309585+3309585</f>
        <v>-376226.14926999994</v>
      </c>
      <c r="P10" s="41">
        <f>-333392.25274-3685811+3685811</f>
        <v>-333392.25273999991</v>
      </c>
      <c r="Q10" s="41">
        <f>-340695.72862-4019203+4019203</f>
        <v>-340695.72862000018</v>
      </c>
      <c r="R10" s="41">
        <f>-322886.75233-4359899+4359899</f>
        <v>-322886.75232999958</v>
      </c>
      <c r="S10" s="41">
        <v>0</v>
      </c>
      <c r="T10" s="41">
        <v>0</v>
      </c>
      <c r="U10" s="40">
        <f>SUM(I10:T10)</f>
        <v>-4682785.3924500002</v>
      </c>
      <c r="V10" s="42"/>
      <c r="W10" s="43"/>
      <c r="X10" s="43"/>
      <c r="Y10" s="43"/>
      <c r="Z10" s="44">
        <f>H10-U10</f>
        <v>-1765431.9645499997</v>
      </c>
      <c r="AA10" s="1" t="e">
        <f>+#REF!-#REF!</f>
        <v>#REF!</v>
      </c>
      <c r="AB10" s="1">
        <v>-0.18653000053018332</v>
      </c>
    </row>
    <row r="11" spans="1:36" ht="12.75" customHeight="1" x14ac:dyDescent="0.2">
      <c r="A11" s="9"/>
      <c r="B11" s="10"/>
      <c r="E11" s="1" t="s">
        <v>24</v>
      </c>
      <c r="F11" s="10"/>
      <c r="G11" s="38"/>
      <c r="H11" s="39">
        <v>-1951782.642</v>
      </c>
      <c r="I11" s="38">
        <v>-28022.66575</v>
      </c>
      <c r="J11" s="43">
        <f>-172007.06936-28023+28023</f>
        <v>-172007.06935999999</v>
      </c>
      <c r="K11" s="41">
        <f>-287062.47683-200030+200030</f>
        <v>-287062.47683</v>
      </c>
      <c r="L11" s="41">
        <f>-325112.87945-487092+487092</f>
        <v>-325112.87945000001</v>
      </c>
      <c r="M11" s="41">
        <f>-492219.62296-812205+812205</f>
        <v>-492219.62296000007</v>
      </c>
      <c r="N11" s="41">
        <f>-81601.19394-1304425+1304425</f>
        <v>-81601.19393999991</v>
      </c>
      <c r="O11" s="41">
        <f>-78021.36335-1386026+1386026</f>
        <v>-78021.36335</v>
      </c>
      <c r="P11" s="41">
        <f>-28738.37287-1464047+1464047</f>
        <v>-28738.372870000079</v>
      </c>
      <c r="Q11" s="41">
        <f>-20169.09295-1492786+1492786</f>
        <v>-20169.092949999962</v>
      </c>
      <c r="R11" s="41">
        <f>-55124.57698-1512955+1512955</f>
        <v>-55124.576979999896</v>
      </c>
      <c r="S11" s="41">
        <v>0</v>
      </c>
      <c r="T11" s="41">
        <v>0</v>
      </c>
      <c r="U11" s="40">
        <f>SUM(I11:T11)</f>
        <v>-1568079.3144399999</v>
      </c>
      <c r="V11" s="42"/>
      <c r="W11" s="43"/>
      <c r="X11" s="43"/>
      <c r="Y11" s="43"/>
      <c r="Z11" s="44">
        <f>H11-U11</f>
        <v>-383703.32756000012</v>
      </c>
      <c r="AA11" s="1" t="e">
        <f>+#REF!-#REF!</f>
        <v>#REF!</v>
      </c>
      <c r="AB11" s="1">
        <v>-0.23753000004217029</v>
      </c>
    </row>
    <row r="12" spans="1:36" ht="12.75" customHeight="1" x14ac:dyDescent="0.2">
      <c r="A12" s="9"/>
      <c r="B12" s="10"/>
      <c r="E12" s="1" t="s">
        <v>25</v>
      </c>
      <c r="F12" s="10"/>
      <c r="G12" s="38"/>
      <c r="H12" s="39">
        <v>-29035514.048999999</v>
      </c>
      <c r="I12" s="38">
        <v>-530463.92894000001</v>
      </c>
      <c r="J12" s="43">
        <f>-686010.05605-530464+530464</f>
        <v>-686010.05605000001</v>
      </c>
      <c r="K12" s="41">
        <f>-576037.36856-1216474+1216474</f>
        <v>-576037.36855999986</v>
      </c>
      <c r="L12" s="41">
        <f>-1083465.70439-1792511+1792511</f>
        <v>-1083465.7043900001</v>
      </c>
      <c r="M12" s="41">
        <f>-8567368.51468-2875977+2875977</f>
        <v>-8567368.51468</v>
      </c>
      <c r="N12" s="41">
        <f>-4877998.3482-11443346+11443346</f>
        <v>-4877998.3482000008</v>
      </c>
      <c r="O12" s="41">
        <f>-4051370.97252-16321344+16321344</f>
        <v>-4051370.9725200012</v>
      </c>
      <c r="P12" s="41">
        <f>-3800585.72167-20372715+20372715</f>
        <v>-3800585.7216700017</v>
      </c>
      <c r="Q12" s="41">
        <f>-2635074.80797-24173301+24173301</f>
        <v>-2635074.8079699986</v>
      </c>
      <c r="R12" s="41">
        <f>-2130972.42416-26808375+26808375</f>
        <v>-2130972.4241599999</v>
      </c>
      <c r="S12" s="41">
        <v>0</v>
      </c>
      <c r="T12" s="41">
        <v>0</v>
      </c>
      <c r="U12" s="40">
        <f>SUM(I12:T12)</f>
        <v>-28939347.847140003</v>
      </c>
      <c r="V12" s="42"/>
      <c r="W12" s="43"/>
      <c r="X12" s="43"/>
      <c r="Y12" s="43"/>
      <c r="Z12" s="44">
        <f>H12-U12</f>
        <v>-96166.201859995723</v>
      </c>
      <c r="AA12" s="1" t="e">
        <f>+#REF!-#REF!</f>
        <v>#REF!</v>
      </c>
      <c r="AB12" s="1">
        <v>138.71320000290871</v>
      </c>
    </row>
    <row r="13" spans="1:36" ht="12.75" customHeight="1" x14ac:dyDescent="0.2">
      <c r="A13" s="9"/>
      <c r="C13" s="606" t="s">
        <v>26</v>
      </c>
      <c r="D13" s="606"/>
      <c r="E13" s="606"/>
      <c r="F13" s="606"/>
      <c r="G13" s="607"/>
      <c r="H13" s="39"/>
      <c r="I13" s="38"/>
      <c r="J13" s="43"/>
      <c r="K13" s="41"/>
      <c r="L13" s="41"/>
      <c r="M13" s="41"/>
      <c r="N13" s="41"/>
      <c r="O13" s="41"/>
      <c r="P13" s="41"/>
      <c r="Q13" s="41"/>
      <c r="R13" s="41"/>
      <c r="S13" s="41"/>
      <c r="T13" s="41"/>
      <c r="U13" s="40"/>
      <c r="V13" s="42"/>
      <c r="W13" s="43"/>
      <c r="X13" s="43"/>
      <c r="Y13" s="43"/>
      <c r="Z13" s="44">
        <f>H13-U13</f>
        <v>0</v>
      </c>
      <c r="AA13" s="1" t="e">
        <f>+#REF!-#REF!</f>
        <v>#REF!</v>
      </c>
      <c r="AB13" s="32">
        <v>0</v>
      </c>
    </row>
    <row r="14" spans="1:36" ht="12.75" customHeight="1" x14ac:dyDescent="0.2">
      <c r="A14" s="9"/>
      <c r="E14" s="1" t="s">
        <v>27</v>
      </c>
      <c r="G14" s="38"/>
      <c r="H14" s="39">
        <v>159575116.40500003</v>
      </c>
      <c r="I14" s="38">
        <v>384842.90894999984</v>
      </c>
      <c r="J14" s="43">
        <f>437017.20909-384843+393075</f>
        <v>445249.20909000002</v>
      </c>
      <c r="K14" s="41">
        <f>39922511.53065-830092+821513</f>
        <v>39913932.530649997</v>
      </c>
      <c r="L14" s="41">
        <f>1548234.13954-40744025+40762136+1</f>
        <v>1566346.1395400017</v>
      </c>
      <c r="M14" s="41">
        <f>16566010.45242-42310371+42327765</f>
        <v>16583404.45242</v>
      </c>
      <c r="N14" s="41">
        <f>16693780.42493-58893775+58936820</f>
        <v>16736825.424929999</v>
      </c>
      <c r="O14" s="41">
        <f>1024152.44984-75630601+75675043</f>
        <v>1068594.4498399943</v>
      </c>
      <c r="P14" s="41">
        <f>2098721.05977-76699195+76742992</f>
        <v>2142518.059770003</v>
      </c>
      <c r="Q14" s="41">
        <f>65830652.06303-78841713+78876874</f>
        <v>65865813.063029997</v>
      </c>
      <c r="R14" s="41">
        <f>1368911.09104-144707526+144819121</f>
        <v>1480506.0910399854</v>
      </c>
      <c r="S14" s="41">
        <v>0</v>
      </c>
      <c r="T14" s="41">
        <v>0</v>
      </c>
      <c r="U14" s="40">
        <f>SUM(I14:T14)</f>
        <v>146188032.32925999</v>
      </c>
      <c r="V14" s="42"/>
      <c r="W14" s="43"/>
      <c r="X14" s="43"/>
      <c r="Y14" s="43"/>
      <c r="Z14" s="44">
        <f>H14-U14</f>
        <v>13387084.075740039</v>
      </c>
      <c r="AA14" s="1" t="e">
        <f>+#REF!-#REF!</f>
        <v>#REF!</v>
      </c>
      <c r="AB14" s="32">
        <v>390830.13055998087</v>
      </c>
    </row>
    <row r="15" spans="1:36" ht="12.75" customHeight="1" x14ac:dyDescent="0.2">
      <c r="A15" s="9"/>
      <c r="E15" s="612" t="s">
        <v>28</v>
      </c>
      <c r="F15" s="612"/>
      <c r="G15" s="613"/>
      <c r="H15" s="39">
        <v>33412.184000000001</v>
      </c>
      <c r="I15" s="38">
        <v>591.75368000000003</v>
      </c>
      <c r="J15" s="43">
        <v>358.55195000000003</v>
      </c>
      <c r="K15" s="41">
        <v>-543.68684999999994</v>
      </c>
      <c r="L15" s="41">
        <v>1414.5836100000001</v>
      </c>
      <c r="M15" s="41">
        <v>14900.17238</v>
      </c>
      <c r="N15" s="41">
        <v>1545.65642</v>
      </c>
      <c r="O15" s="41">
        <v>1452.81231</v>
      </c>
      <c r="P15" s="41">
        <v>787.68525999999997</v>
      </c>
      <c r="Q15" s="41">
        <v>11587.871779999999</v>
      </c>
      <c r="R15" s="41">
        <v>10152.577949999999</v>
      </c>
      <c r="S15" s="41">
        <v>0</v>
      </c>
      <c r="T15" s="41">
        <v>0</v>
      </c>
      <c r="U15" s="40">
        <f>SUM(I15:T15)</f>
        <v>42247.978490000001</v>
      </c>
      <c r="V15" s="42"/>
      <c r="W15" s="43"/>
      <c r="X15" s="43"/>
      <c r="Y15" s="43"/>
      <c r="Z15" s="44">
        <f>H15-U15</f>
        <v>-8835.7944900000002</v>
      </c>
      <c r="AA15" s="1" t="e">
        <f>+#REF!-#REF!</f>
        <v>#REF!</v>
      </c>
      <c r="AB15" s="32">
        <v>-0.55058999999891967</v>
      </c>
    </row>
    <row r="16" spans="1:36" ht="12.75" customHeight="1" x14ac:dyDescent="0.2">
      <c r="A16" s="9"/>
      <c r="E16" s="612" t="s">
        <v>29</v>
      </c>
      <c r="F16" s="612"/>
      <c r="G16" s="613"/>
      <c r="H16" s="39">
        <v>20617763.228999998</v>
      </c>
      <c r="I16" s="38">
        <v>2209079.9366000001</v>
      </c>
      <c r="J16" s="43">
        <v>3349193.38399</v>
      </c>
      <c r="K16" s="41">
        <v>1867407.8515699999</v>
      </c>
      <c r="L16" s="41">
        <v>1470064.80709</v>
      </c>
      <c r="M16" s="41">
        <v>1308870.1526300001</v>
      </c>
      <c r="N16" s="41">
        <v>1067478.5544199999</v>
      </c>
      <c r="O16" s="41">
        <v>2239556.21636</v>
      </c>
      <c r="P16" s="41">
        <v>1525227.9124499999</v>
      </c>
      <c r="Q16" s="41">
        <v>1430045.4186800001</v>
      </c>
      <c r="R16" s="41">
        <v>2718753.6723799999</v>
      </c>
      <c r="S16" s="41">
        <v>0</v>
      </c>
      <c r="T16" s="41">
        <v>0</v>
      </c>
      <c r="U16" s="40">
        <f>SUM(I16:T16)</f>
        <v>19185677.906170003</v>
      </c>
      <c r="V16" s="42"/>
      <c r="W16" s="43"/>
      <c r="X16" s="43"/>
      <c r="Y16" s="43"/>
      <c r="Z16" s="44">
        <f>H16-U16</f>
        <v>1432085.3228299953</v>
      </c>
      <c r="AA16" s="1" t="e">
        <f>+#REF!-#REF!</f>
        <v>#REF!</v>
      </c>
      <c r="AB16" s="32">
        <v>-0.31317000091075897</v>
      </c>
    </row>
    <row r="17" spans="1:28" ht="12.75" customHeight="1" x14ac:dyDescent="0.2">
      <c r="A17" s="9"/>
      <c r="E17" s="612" t="s">
        <v>30</v>
      </c>
      <c r="F17" s="612"/>
      <c r="G17" s="613"/>
      <c r="H17" s="39">
        <v>530561.42000000004</v>
      </c>
      <c r="I17" s="38">
        <v>59182.997109999997</v>
      </c>
      <c r="J17" s="43">
        <v>31029.25405</v>
      </c>
      <c r="K17" s="41">
        <v>32443.184300000001</v>
      </c>
      <c r="L17" s="41">
        <v>43083.216130000001</v>
      </c>
      <c r="M17" s="41">
        <v>23768.29952</v>
      </c>
      <c r="N17" s="41">
        <v>40209.965609999999</v>
      </c>
      <c r="O17" s="41">
        <v>57329.075709999997</v>
      </c>
      <c r="P17" s="41">
        <v>38019.836139999999</v>
      </c>
      <c r="Q17" s="41">
        <v>30230.652859999998</v>
      </c>
      <c r="R17" s="41">
        <v>28941.377190000003</v>
      </c>
      <c r="S17" s="41">
        <v>0</v>
      </c>
      <c r="T17" s="41">
        <v>0</v>
      </c>
      <c r="U17" s="40">
        <f>SUM(I17:T17)</f>
        <v>384237.85862000001</v>
      </c>
      <c r="V17" s="42"/>
      <c r="W17" s="43"/>
      <c r="X17" s="43"/>
      <c r="Y17" s="43"/>
      <c r="Z17" s="44">
        <f>H17-U17</f>
        <v>146323.56138000003</v>
      </c>
      <c r="AA17" s="1" t="e">
        <f>+#REF!-#REF!</f>
        <v>#REF!</v>
      </c>
      <c r="AB17" s="32">
        <v>-0.36829999997280538</v>
      </c>
    </row>
    <row r="18" spans="1:28" x14ac:dyDescent="0.2">
      <c r="A18" s="9"/>
      <c r="C18" s="1" t="s">
        <v>31</v>
      </c>
      <c r="G18" s="38"/>
      <c r="H18" s="39"/>
      <c r="I18" s="38"/>
      <c r="J18" s="43"/>
      <c r="K18" s="41"/>
      <c r="L18" s="41"/>
      <c r="M18" s="41"/>
      <c r="N18" s="41"/>
      <c r="O18" s="41"/>
      <c r="P18" s="41"/>
      <c r="Q18" s="41"/>
      <c r="R18" s="41"/>
      <c r="S18" s="41"/>
      <c r="T18" s="41"/>
      <c r="U18" s="40"/>
      <c r="V18" s="42"/>
      <c r="W18" s="43"/>
      <c r="X18" s="43"/>
      <c r="Y18" s="43"/>
      <c r="Z18" s="44">
        <f>H1-U18</f>
        <v>0</v>
      </c>
      <c r="AA18" s="1" t="e">
        <f>+#REF!-#REF!</f>
        <v>#REF!</v>
      </c>
      <c r="AB18" s="32">
        <v>0</v>
      </c>
    </row>
    <row r="19" spans="1:28" ht="12.75" customHeight="1" x14ac:dyDescent="0.2">
      <c r="A19" s="9"/>
      <c r="E19" s="606" t="s">
        <v>32</v>
      </c>
      <c r="F19" s="606"/>
      <c r="G19" s="607"/>
      <c r="H19" s="39">
        <v>5386927.6540000001</v>
      </c>
      <c r="I19" s="38">
        <v>232647.16282000003</v>
      </c>
      <c r="J19" s="43">
        <f>259107.23964-232647+222624</f>
        <v>249084.23964000001</v>
      </c>
      <c r="K19" s="41">
        <f>275728.14204-481731+488124</f>
        <v>282121.14204000001</v>
      </c>
      <c r="L19" s="41">
        <f>313886.88512-763853+741881</f>
        <v>291914.88511999999</v>
      </c>
      <c r="M19" s="41">
        <f>417007.69599-1055767+1035118</f>
        <v>396358.69598999992</v>
      </c>
      <c r="N19" s="41">
        <f>442271.86283-1452126+1410232</f>
        <v>400377.86283</v>
      </c>
      <c r="O19" s="41">
        <f>338472.35938-1852504+1796095</f>
        <v>282063.35938000004</v>
      </c>
      <c r="P19" s="41">
        <f>334250.08218-2134567+2084253</f>
        <v>283936.08217999991</v>
      </c>
      <c r="Q19" s="41">
        <f>381631.89427-2418503+2379212</f>
        <v>342340.89427000005</v>
      </c>
      <c r="R19" s="41">
        <f>270376.17194-2760844+2640228</f>
        <v>149760.1719399998</v>
      </c>
      <c r="S19" s="41">
        <v>0</v>
      </c>
      <c r="T19" s="41">
        <v>0</v>
      </c>
      <c r="U19" s="40">
        <f>SUM(I19:T19)</f>
        <v>2910604.4962099995</v>
      </c>
      <c r="V19" s="42"/>
      <c r="W19" s="43"/>
      <c r="X19" s="43"/>
      <c r="Y19" s="43"/>
      <c r="Z19" s="44">
        <f>H19-U19</f>
        <v>2476323.1577900006</v>
      </c>
      <c r="AA19" s="1" t="e">
        <f>+#REF!-#REF!</f>
        <v>#REF!</v>
      </c>
      <c r="AB19" s="32">
        <v>-561728.9774600002</v>
      </c>
    </row>
    <row r="20" spans="1:28" ht="12.75" customHeight="1" x14ac:dyDescent="0.2">
      <c r="A20" s="9"/>
      <c r="E20" s="612" t="s">
        <v>33</v>
      </c>
      <c r="F20" s="612"/>
      <c r="G20" s="613"/>
      <c r="H20" s="39">
        <v>71.558999999999997</v>
      </c>
      <c r="I20" s="38">
        <v>0</v>
      </c>
      <c r="J20" s="43">
        <v>71.558999999999997</v>
      </c>
      <c r="K20" s="41">
        <v>0</v>
      </c>
      <c r="L20" s="41">
        <v>0</v>
      </c>
      <c r="M20" s="41">
        <v>0</v>
      </c>
      <c r="N20" s="41">
        <v>0</v>
      </c>
      <c r="O20" s="41">
        <v>0</v>
      </c>
      <c r="P20" s="41">
        <v>0</v>
      </c>
      <c r="Q20" s="41">
        <v>0</v>
      </c>
      <c r="R20" s="41">
        <v>0</v>
      </c>
      <c r="S20" s="41">
        <v>0</v>
      </c>
      <c r="T20" s="41">
        <v>0</v>
      </c>
      <c r="U20" s="40">
        <f>SUM(I20:T20)</f>
        <v>71.558999999999997</v>
      </c>
      <c r="V20" s="42"/>
      <c r="W20" s="43"/>
      <c r="X20" s="43"/>
      <c r="Y20" s="43"/>
      <c r="Z20" s="44">
        <f>H20-U20</f>
        <v>0</v>
      </c>
      <c r="AA20" s="1" t="e">
        <f>+#REF!-#REF!</f>
        <v>#REF!</v>
      </c>
      <c r="AB20" s="32">
        <v>-0.58600000000001273</v>
      </c>
    </row>
    <row r="21" spans="1:28" s="32" customFormat="1" ht="12.75" customHeight="1" x14ac:dyDescent="0.2">
      <c r="A21" s="44"/>
      <c r="B21" s="10" t="s">
        <v>34</v>
      </c>
      <c r="C21" s="31"/>
      <c r="E21" s="45"/>
      <c r="F21" s="45"/>
      <c r="G21" s="46"/>
      <c r="H21" s="47">
        <f>H22</f>
        <v>10174610.99</v>
      </c>
      <c r="I21" s="47">
        <f t="shared" ref="I21:U21" si="2">I22</f>
        <v>1448896.29446</v>
      </c>
      <c r="J21" s="48">
        <f t="shared" si="2"/>
        <v>1119036.5325999998</v>
      </c>
      <c r="K21" s="49">
        <f t="shared" si="2"/>
        <v>8683.9046199999993</v>
      </c>
      <c r="L21" s="49">
        <f t="shared" si="2"/>
        <v>88985.843720000004</v>
      </c>
      <c r="M21" s="49">
        <f t="shared" si="2"/>
        <v>75881.088000000003</v>
      </c>
      <c r="N21" s="49">
        <f t="shared" si="2"/>
        <v>169905.86504</v>
      </c>
      <c r="O21" s="49">
        <f t="shared" si="2"/>
        <v>1462514.1096400002</v>
      </c>
      <c r="P21" s="49">
        <f t="shared" si="2"/>
        <v>1488220.46254</v>
      </c>
      <c r="Q21" s="49">
        <f t="shared" si="2"/>
        <v>1667699.5313499998</v>
      </c>
      <c r="R21" s="49">
        <f t="shared" si="2"/>
        <v>1637904.7564300001</v>
      </c>
      <c r="S21" s="49">
        <f t="shared" si="2"/>
        <v>0</v>
      </c>
      <c r="T21" s="49">
        <f t="shared" si="2"/>
        <v>0</v>
      </c>
      <c r="U21" s="50">
        <f t="shared" si="2"/>
        <v>9167728.3883999996</v>
      </c>
      <c r="V21" s="54"/>
      <c r="W21" s="48"/>
      <c r="X21" s="48"/>
      <c r="Y21" s="48"/>
      <c r="Z21" s="44">
        <f>H21-U21</f>
        <v>1006882.6016000006</v>
      </c>
      <c r="AA21" s="1" t="e">
        <f>+#REF!-#REF!</f>
        <v>#REF!</v>
      </c>
      <c r="AB21" s="32">
        <v>-9.3469999730587006E-2</v>
      </c>
    </row>
    <row r="22" spans="1:28" ht="12.75" customHeight="1" x14ac:dyDescent="0.2">
      <c r="A22" s="9"/>
      <c r="C22" s="55" t="s">
        <v>35</v>
      </c>
      <c r="F22" s="56"/>
      <c r="G22" s="46"/>
      <c r="H22" s="39">
        <v>10174610.99</v>
      </c>
      <c r="I22" s="38">
        <v>1448896.29446</v>
      </c>
      <c r="J22" s="43">
        <v>1119036.5325999998</v>
      </c>
      <c r="K22" s="41">
        <v>8683.9046199999993</v>
      </c>
      <c r="L22" s="41">
        <v>88985.843720000004</v>
      </c>
      <c r="M22" s="41">
        <v>75881.088000000003</v>
      </c>
      <c r="N22" s="41">
        <v>169905.86504</v>
      </c>
      <c r="O22" s="41">
        <v>1462514.1096400002</v>
      </c>
      <c r="P22" s="41">
        <v>1488220.46254</v>
      </c>
      <c r="Q22" s="41">
        <v>1667699.5313499998</v>
      </c>
      <c r="R22" s="41">
        <v>1637904.7564300001</v>
      </c>
      <c r="S22" s="41">
        <v>0</v>
      </c>
      <c r="T22" s="41">
        <v>0</v>
      </c>
      <c r="U22" s="40">
        <f>SUM(I22:T22)</f>
        <v>9167728.3883999996</v>
      </c>
      <c r="V22" s="42"/>
      <c r="W22" s="43"/>
      <c r="X22" s="43"/>
      <c r="Y22" s="43"/>
      <c r="Z22" s="44">
        <f>H22-U22</f>
        <v>1006882.6016000006</v>
      </c>
      <c r="AA22" s="1" t="e">
        <f>+#REF!-#REF!</f>
        <v>#REF!</v>
      </c>
      <c r="AB22" s="32">
        <v>-9.3469999730587006E-2</v>
      </c>
    </row>
    <row r="23" spans="1:28" s="32" customFormat="1" ht="12.75" customHeight="1" x14ac:dyDescent="0.2">
      <c r="A23" s="44"/>
      <c r="B23" s="10" t="s">
        <v>36</v>
      </c>
      <c r="C23" s="31"/>
      <c r="E23" s="45"/>
      <c r="F23" s="45"/>
      <c r="G23" s="46"/>
      <c r="H23" s="47">
        <f>SUM(H24:H29)</f>
        <v>14454626.437000003</v>
      </c>
      <c r="I23" s="47">
        <f>SUM(I24:I29)</f>
        <v>930000.28094000008</v>
      </c>
      <c r="J23" s="48">
        <f t="shared" ref="J23:U23" si="3">SUM(J24:J29)</f>
        <v>964345.83990000002</v>
      </c>
      <c r="K23" s="49">
        <f t="shared" si="3"/>
        <v>1222430.14439</v>
      </c>
      <c r="L23" s="49">
        <f t="shared" si="3"/>
        <v>1300104.89249</v>
      </c>
      <c r="M23" s="49">
        <f t="shared" si="3"/>
        <v>1253114.29495</v>
      </c>
      <c r="N23" s="49">
        <f t="shared" si="3"/>
        <v>1425464.15118</v>
      </c>
      <c r="O23" s="49">
        <f t="shared" si="3"/>
        <v>1457954.3470199998</v>
      </c>
      <c r="P23" s="49">
        <f t="shared" si="3"/>
        <v>1638130.02015</v>
      </c>
      <c r="Q23" s="49">
        <f t="shared" si="3"/>
        <v>1246894.6395299998</v>
      </c>
      <c r="R23" s="49">
        <f t="shared" si="3"/>
        <v>1262648.4423799999</v>
      </c>
      <c r="S23" s="49">
        <f t="shared" si="3"/>
        <v>0</v>
      </c>
      <c r="T23" s="49">
        <f t="shared" si="3"/>
        <v>0</v>
      </c>
      <c r="U23" s="50">
        <f t="shared" si="3"/>
        <v>12701087.052929999</v>
      </c>
      <c r="V23" s="54"/>
      <c r="W23" s="48"/>
      <c r="X23" s="48"/>
      <c r="Y23" s="48"/>
      <c r="Z23" s="44">
        <f>H23-U23</f>
        <v>1753539.3840700034</v>
      </c>
      <c r="AA23" s="1" t="e">
        <f>+#REF!-#REF!</f>
        <v>#REF!</v>
      </c>
      <c r="AB23" s="32">
        <v>0.50685000047087669</v>
      </c>
    </row>
    <row r="24" spans="1:28" s="32" customFormat="1" ht="12.75" customHeight="1" x14ac:dyDescent="0.2">
      <c r="A24" s="44"/>
      <c r="B24" s="10"/>
      <c r="C24" s="606" t="s">
        <v>37</v>
      </c>
      <c r="D24" s="606"/>
      <c r="E24" s="606"/>
      <c r="F24" s="606"/>
      <c r="G24" s="607"/>
      <c r="H24" s="39"/>
      <c r="I24" s="38"/>
      <c r="J24" s="43"/>
      <c r="K24" s="41"/>
      <c r="L24" s="41"/>
      <c r="M24" s="41"/>
      <c r="N24" s="41"/>
      <c r="O24" s="41"/>
      <c r="P24" s="41"/>
      <c r="Q24" s="41"/>
      <c r="R24" s="41"/>
      <c r="S24" s="41"/>
      <c r="T24" s="41"/>
      <c r="U24" s="40"/>
      <c r="V24" s="42"/>
      <c r="W24" s="43"/>
      <c r="X24" s="43"/>
      <c r="Y24" s="43"/>
      <c r="Z24" s="44"/>
      <c r="AA24" s="1" t="e">
        <f>+#REF!-#REF!</f>
        <v>#REF!</v>
      </c>
      <c r="AB24" s="32">
        <v>0</v>
      </c>
    </row>
    <row r="25" spans="1:28" ht="12.75" customHeight="1" x14ac:dyDescent="0.2">
      <c r="A25" s="9"/>
      <c r="E25" s="55" t="s">
        <v>38</v>
      </c>
      <c r="F25" s="55"/>
      <c r="G25" s="46"/>
      <c r="H25" s="39">
        <v>626954.78399999999</v>
      </c>
      <c r="I25" s="38">
        <v>31559.846730000001</v>
      </c>
      <c r="J25" s="43">
        <v>10892.31041</v>
      </c>
      <c r="K25" s="41">
        <v>46560.754789999999</v>
      </c>
      <c r="L25" s="41">
        <v>34777.232400000001</v>
      </c>
      <c r="M25" s="41">
        <v>55122.520259999998</v>
      </c>
      <c r="N25" s="41">
        <v>68695.364930000011</v>
      </c>
      <c r="O25" s="41">
        <v>25458.964090000001</v>
      </c>
      <c r="P25" s="41">
        <v>64813.07576</v>
      </c>
      <c r="Q25" s="41">
        <v>55056.423969999996</v>
      </c>
      <c r="R25" s="41">
        <v>32973.087879999999</v>
      </c>
      <c r="S25" s="41">
        <v>0</v>
      </c>
      <c r="T25" s="41">
        <v>0</v>
      </c>
      <c r="U25" s="40">
        <f>SUM(I25:T25)</f>
        <v>425909.58121999999</v>
      </c>
      <c r="V25" s="42"/>
      <c r="W25" s="43"/>
      <c r="X25" s="43"/>
      <c r="Y25" s="43"/>
      <c r="Z25" s="44">
        <f>H25-U25</f>
        <v>201045.20277999999</v>
      </c>
      <c r="AA25" s="1" t="e">
        <f>+#REF!-#REF!</f>
        <v>#REF!</v>
      </c>
      <c r="AB25" s="32">
        <v>0.43591000000014901</v>
      </c>
    </row>
    <row r="26" spans="1:28" ht="12.75" customHeight="1" x14ac:dyDescent="0.2">
      <c r="A26" s="9"/>
      <c r="E26" s="55" t="s">
        <v>39</v>
      </c>
      <c r="F26" s="55"/>
      <c r="G26" s="46"/>
      <c r="H26" s="39">
        <v>3000000.0010000002</v>
      </c>
      <c r="I26" s="38">
        <v>96256.162180000014</v>
      </c>
      <c r="J26" s="43">
        <v>129073.12845999999</v>
      </c>
      <c r="K26" s="41">
        <v>226718.81278000001</v>
      </c>
      <c r="L26" s="41">
        <v>264484.19075999997</v>
      </c>
      <c r="M26" s="41">
        <v>157561.25753</v>
      </c>
      <c r="N26" s="41">
        <v>279991.56835000002</v>
      </c>
      <c r="O26" s="41">
        <v>214142.49699000001</v>
      </c>
      <c r="P26" s="41">
        <v>216394.44462999998</v>
      </c>
      <c r="Q26" s="41">
        <v>199917.46669</v>
      </c>
      <c r="R26" s="41">
        <v>103876.80607999999</v>
      </c>
      <c r="S26" s="41">
        <v>0</v>
      </c>
      <c r="T26" s="41">
        <v>0</v>
      </c>
      <c r="U26" s="40">
        <f>SUM(I26:T26)</f>
        <v>1888416.33445</v>
      </c>
      <c r="V26" s="42"/>
      <c r="W26" s="43"/>
      <c r="X26" s="43"/>
      <c r="Y26" s="43"/>
      <c r="Z26" s="44">
        <f>H26-U26</f>
        <v>1111583.6665500002</v>
      </c>
      <c r="AA26" s="1" t="e">
        <f>+#REF!-#REF!</f>
        <v>#REF!</v>
      </c>
      <c r="AB26" s="32">
        <v>3.3559999894350767E-2</v>
      </c>
    </row>
    <row r="27" spans="1:28" x14ac:dyDescent="0.2">
      <c r="A27" s="9"/>
      <c r="C27" s="606" t="s">
        <v>40</v>
      </c>
      <c r="D27" s="606"/>
      <c r="E27" s="606"/>
      <c r="F27" s="606"/>
      <c r="G27" s="607"/>
      <c r="H27" s="39"/>
      <c r="I27" s="38"/>
      <c r="J27" s="43"/>
      <c r="K27" s="41"/>
      <c r="L27" s="41"/>
      <c r="M27" s="41"/>
      <c r="N27" s="41"/>
      <c r="O27" s="41"/>
      <c r="P27" s="41"/>
      <c r="Q27" s="41"/>
      <c r="R27" s="41"/>
      <c r="S27" s="41"/>
      <c r="T27" s="41"/>
      <c r="U27" s="40"/>
      <c r="V27" s="42"/>
      <c r="W27" s="43"/>
      <c r="X27" s="43"/>
      <c r="Y27" s="43"/>
      <c r="Z27" s="44"/>
      <c r="AA27" s="1" t="e">
        <f>+#REF!-#REF!</f>
        <v>#REF!</v>
      </c>
      <c r="AB27" s="32">
        <v>0</v>
      </c>
    </row>
    <row r="28" spans="1:28" ht="12.75" customHeight="1" x14ac:dyDescent="0.2">
      <c r="A28" s="9"/>
      <c r="E28" s="55" t="s">
        <v>41</v>
      </c>
      <c r="F28" s="55"/>
      <c r="G28" s="46"/>
      <c r="H28" s="39">
        <v>5674685.0080000004</v>
      </c>
      <c r="I28" s="38">
        <v>724379.24122000008</v>
      </c>
      <c r="J28" s="43">
        <v>440553.43148000003</v>
      </c>
      <c r="K28" s="41">
        <v>479629.67985000001</v>
      </c>
      <c r="L28" s="41">
        <v>467319.17436</v>
      </c>
      <c r="M28" s="41">
        <v>440190.07876999996</v>
      </c>
      <c r="N28" s="41">
        <v>337034.30754000001</v>
      </c>
      <c r="O28" s="41">
        <v>355660.93687999999</v>
      </c>
      <c r="P28" s="41">
        <v>414652.91749000002</v>
      </c>
      <c r="Q28" s="41">
        <v>479060.93511999998</v>
      </c>
      <c r="R28" s="41">
        <v>415607.07444</v>
      </c>
      <c r="S28" s="41">
        <v>0</v>
      </c>
      <c r="T28" s="41">
        <v>0</v>
      </c>
      <c r="U28" s="40">
        <f>SUM(I28:T28)</f>
        <v>4554087.7771499995</v>
      </c>
      <c r="V28" s="42"/>
      <c r="W28" s="43"/>
      <c r="X28" s="43"/>
      <c r="Y28" s="43"/>
      <c r="Z28" s="44">
        <f>H28-U28</f>
        <v>1120597.2308500009</v>
      </c>
      <c r="AA28" s="1" t="e">
        <f>+#REF!-#REF!</f>
        <v>#REF!</v>
      </c>
      <c r="AB28" s="32">
        <v>-0.43056999985128641</v>
      </c>
    </row>
    <row r="29" spans="1:28" ht="12.75" customHeight="1" x14ac:dyDescent="0.2">
      <c r="A29" s="9"/>
      <c r="E29" s="55" t="s">
        <v>42</v>
      </c>
      <c r="F29" s="55"/>
      <c r="G29" s="46"/>
      <c r="H29" s="39">
        <v>5152986.6440000003</v>
      </c>
      <c r="I29" s="38">
        <v>77805.030809999997</v>
      </c>
      <c r="J29" s="43">
        <v>383826.96955000004</v>
      </c>
      <c r="K29" s="41">
        <v>469520.89697</v>
      </c>
      <c r="L29" s="41">
        <v>533524.29497000005</v>
      </c>
      <c r="M29" s="41">
        <v>600240.43839000002</v>
      </c>
      <c r="N29" s="41">
        <v>739742.91035999998</v>
      </c>
      <c r="O29" s="41">
        <v>862691.9490599999</v>
      </c>
      <c r="P29" s="41">
        <v>942269.58227000001</v>
      </c>
      <c r="Q29" s="41">
        <v>512859.81374999997</v>
      </c>
      <c r="R29" s="41">
        <v>710191.47398000001</v>
      </c>
      <c r="S29" s="41">
        <v>0</v>
      </c>
      <c r="T29" s="41">
        <v>0</v>
      </c>
      <c r="U29" s="40">
        <f>SUM(I29:T29)</f>
        <v>5832673.3601099998</v>
      </c>
      <c r="V29" s="42"/>
      <c r="W29" s="43"/>
      <c r="X29" s="43"/>
      <c r="Y29" s="43"/>
      <c r="Z29" s="44">
        <f>H29-U29</f>
        <v>-679686.71610999946</v>
      </c>
      <c r="AA29" s="1" t="e">
        <f>+#REF!-#REF!</f>
        <v>#REF!</v>
      </c>
      <c r="AB29" s="32">
        <v>0.4679500013589859</v>
      </c>
    </row>
    <row r="30" spans="1:28" ht="12.75" customHeight="1" x14ac:dyDescent="0.2">
      <c r="A30" s="9"/>
      <c r="B30" s="10" t="s">
        <v>43</v>
      </c>
      <c r="C30" s="31"/>
      <c r="E30" s="55"/>
      <c r="F30" s="55"/>
      <c r="G30" s="46"/>
      <c r="H30" s="47">
        <f t="shared" ref="H30:N30" si="4">H31+H35+H37+H46+H47+H48+H54+H55+H56+H57+H58+H59+H60+H63+H61</f>
        <v>406902676.04400009</v>
      </c>
      <c r="I30" s="57">
        <f t="shared" si="4"/>
        <v>28356908.747899994</v>
      </c>
      <c r="J30" s="57">
        <f t="shared" si="4"/>
        <v>20250969.917430002</v>
      </c>
      <c r="K30" s="47">
        <f t="shared" si="4"/>
        <v>20828640.803550001</v>
      </c>
      <c r="L30" s="47">
        <f t="shared" si="4"/>
        <v>32016682.791159999</v>
      </c>
      <c r="M30" s="47">
        <f t="shared" si="4"/>
        <v>38058942.388289988</v>
      </c>
      <c r="N30" s="47">
        <f t="shared" si="4"/>
        <v>42513455.054179981</v>
      </c>
      <c r="O30" s="47">
        <f>O31+O35+O37+O46+O47+O48+O54+O55+O56+O57+O58+O59+O60+O63+O61</f>
        <v>47983958.66038999</v>
      </c>
      <c r="P30" s="47">
        <f t="shared" ref="P30:U30" si="5">P31+P35+P37+P46+P47+P48+P54+P55+P56+P57+P58+P59+P60+P63+P61</f>
        <v>47171696.52651</v>
      </c>
      <c r="Q30" s="47">
        <f t="shared" si="5"/>
        <v>42848327.083300009</v>
      </c>
      <c r="R30" s="47">
        <f t="shared" si="5"/>
        <v>46036676.935669996</v>
      </c>
      <c r="S30" s="47">
        <f t="shared" si="5"/>
        <v>0</v>
      </c>
      <c r="T30" s="47">
        <f t="shared" si="5"/>
        <v>0</v>
      </c>
      <c r="U30" s="58">
        <f t="shared" si="5"/>
        <v>366066258.90837991</v>
      </c>
      <c r="V30" s="54"/>
      <c r="W30" s="48"/>
      <c r="X30" s="48"/>
      <c r="Y30" s="48"/>
      <c r="Z30" s="37">
        <f>H30-U30</f>
        <v>40836417.135620177</v>
      </c>
      <c r="AA30" s="1" t="e">
        <f>+#REF!-#REF!</f>
        <v>#REF!</v>
      </c>
      <c r="AB30" s="32">
        <v>-3.0540049076080322E-2</v>
      </c>
    </row>
    <row r="31" spans="1:28" s="32" customFormat="1" ht="12.75" customHeight="1" x14ac:dyDescent="0.2">
      <c r="A31" s="44"/>
      <c r="B31" s="1"/>
      <c r="C31" s="55" t="s">
        <v>44</v>
      </c>
      <c r="D31" s="1"/>
      <c r="E31" s="1"/>
      <c r="F31" s="59"/>
      <c r="G31" s="60"/>
      <c r="H31" s="39">
        <f>+H32+H33+H34</f>
        <v>287697822.31099999</v>
      </c>
      <c r="I31" s="38">
        <f>+I32+I33+I34</f>
        <v>18776740.935239997</v>
      </c>
      <c r="J31" s="43">
        <f t="shared" ref="J31:P31" si="6">+J32+J33+J34</f>
        <v>16236146.551860001</v>
      </c>
      <c r="K31" s="39">
        <f t="shared" si="6"/>
        <v>17497398.209230002</v>
      </c>
      <c r="L31" s="41">
        <f t="shared" si="6"/>
        <v>24156555.682999998</v>
      </c>
      <c r="M31" s="41">
        <f t="shared" si="6"/>
        <v>28925326.47027</v>
      </c>
      <c r="N31" s="41">
        <f t="shared" si="6"/>
        <v>30839146.360589996</v>
      </c>
      <c r="O31" s="41">
        <f t="shared" si="6"/>
        <v>31852786.621889997</v>
      </c>
      <c r="P31" s="41">
        <f t="shared" si="6"/>
        <v>34287156.751970001</v>
      </c>
      <c r="Q31" s="41">
        <f>+Q32+Q33+Q34</f>
        <v>30755912.496950008</v>
      </c>
      <c r="R31" s="41">
        <f>+R32+R33+R34</f>
        <v>33003863.607320003</v>
      </c>
      <c r="S31" s="41">
        <v>0</v>
      </c>
      <c r="T31" s="41">
        <v>0</v>
      </c>
      <c r="U31" s="40">
        <f>+U32+U33+U34</f>
        <v>266331033.68831998</v>
      </c>
      <c r="V31" s="42"/>
      <c r="W31" s="43"/>
      <c r="X31" s="43"/>
      <c r="Y31" s="43"/>
      <c r="Z31" s="44">
        <f>H31-U31</f>
        <v>21366788.622680008</v>
      </c>
      <c r="AA31" s="1" t="e">
        <f>+#REF!-#REF!</f>
        <v>#REF!</v>
      </c>
      <c r="AB31" s="32">
        <v>17.168430030345917</v>
      </c>
    </row>
    <row r="32" spans="1:28" s="32" customFormat="1" ht="12.75" customHeight="1" x14ac:dyDescent="0.2">
      <c r="A32" s="44"/>
      <c r="C32" s="61"/>
      <c r="D32" s="1"/>
      <c r="E32" s="62" t="s">
        <v>45</v>
      </c>
      <c r="F32" s="59"/>
      <c r="G32" s="46"/>
      <c r="H32" s="39">
        <v>365068963.93299997</v>
      </c>
      <c r="I32" s="38">
        <v>30729928.097920001</v>
      </c>
      <c r="J32" s="43">
        <v>23628213.569529999</v>
      </c>
      <c r="K32" s="41">
        <v>26987147.829450004</v>
      </c>
      <c r="L32" s="41">
        <v>33184655.828279998</v>
      </c>
      <c r="M32" s="41">
        <v>32688282.992089998</v>
      </c>
      <c r="N32" s="41">
        <v>34824457.563249998</v>
      </c>
      <c r="O32" s="41">
        <v>34283804.861469999</v>
      </c>
      <c r="P32" s="41">
        <v>35701045.356770001</v>
      </c>
      <c r="Q32" s="41">
        <v>35625227.583170004</v>
      </c>
      <c r="R32" s="41">
        <v>38701466.623580001</v>
      </c>
      <c r="S32" s="41">
        <v>0</v>
      </c>
      <c r="T32" s="41">
        <v>0</v>
      </c>
      <c r="U32" s="40">
        <f>SUM(I32:T32)</f>
        <v>326354230.30550998</v>
      </c>
      <c r="V32" s="42"/>
      <c r="W32" s="43"/>
      <c r="X32" s="43"/>
      <c r="Y32" s="43"/>
      <c r="Z32" s="44">
        <f>H32-U32</f>
        <v>38714733.627489984</v>
      </c>
      <c r="AA32" s="1" t="e">
        <f>+#REF!-#REF!</f>
        <v>#REF!</v>
      </c>
      <c r="AB32" s="32">
        <v>0.34689003229141235</v>
      </c>
    </row>
    <row r="33" spans="1:28" s="32" customFormat="1" ht="12.75" customHeight="1" x14ac:dyDescent="0.2">
      <c r="A33" s="44"/>
      <c r="C33" s="61"/>
      <c r="D33" s="1"/>
      <c r="E33" s="62" t="s">
        <v>46</v>
      </c>
      <c r="F33" s="59"/>
      <c r="G33" s="46"/>
      <c r="H33" s="39">
        <v>138001101.889</v>
      </c>
      <c r="I33" s="38">
        <v>3529370.3886099998</v>
      </c>
      <c r="J33" s="43">
        <v>11130423.847820001</v>
      </c>
      <c r="K33" s="41">
        <v>11682969.60579</v>
      </c>
      <c r="L33" s="41">
        <v>11388901.296339998</v>
      </c>
      <c r="M33" s="41">
        <v>12281816.734439999</v>
      </c>
      <c r="N33" s="41">
        <v>14412080.88515</v>
      </c>
      <c r="O33" s="41">
        <v>15675191.26237</v>
      </c>
      <c r="P33" s="41">
        <v>16503013.676609999</v>
      </c>
      <c r="Q33" s="41">
        <v>15860667.49006</v>
      </c>
      <c r="R33" s="41">
        <v>12542005.088149998</v>
      </c>
      <c r="S33" s="41">
        <v>0</v>
      </c>
      <c r="T33" s="41">
        <v>0</v>
      </c>
      <c r="U33" s="40">
        <f>SUM(I33:T33)</f>
        <v>125006440.27533999</v>
      </c>
      <c r="V33" s="42"/>
      <c r="W33" s="43"/>
      <c r="X33" s="43"/>
      <c r="Y33" s="43"/>
      <c r="Z33" s="44">
        <f>H33-U33</f>
        <v>12994661.613660008</v>
      </c>
      <c r="AA33" s="1" t="e">
        <f>+#REF!-#REF!</f>
        <v>#REF!</v>
      </c>
      <c r="AB33" s="32">
        <v>-231.0765900015831</v>
      </c>
    </row>
    <row r="34" spans="1:28" s="32" customFormat="1" ht="12.75" customHeight="1" x14ac:dyDescent="0.2">
      <c r="A34" s="44"/>
      <c r="C34" s="61"/>
      <c r="D34" s="1"/>
      <c r="E34" s="62" t="s">
        <v>47</v>
      </c>
      <c r="F34" s="59"/>
      <c r="G34" s="60"/>
      <c r="H34" s="39">
        <v>-215372243.51100001</v>
      </c>
      <c r="I34" s="38">
        <v>-15482557.551290002</v>
      </c>
      <c r="J34" s="43">
        <v>-18522490.865490001</v>
      </c>
      <c r="K34" s="41">
        <v>-21172719.226009998</v>
      </c>
      <c r="L34" s="41">
        <v>-20417001.44162</v>
      </c>
      <c r="M34" s="41">
        <v>-16044773.25626</v>
      </c>
      <c r="N34" s="41">
        <v>-18397392.087810002</v>
      </c>
      <c r="O34" s="41">
        <v>-18106209.501949999</v>
      </c>
      <c r="P34" s="41">
        <v>-17916902.281410001</v>
      </c>
      <c r="Q34" s="41">
        <v>-20729982.576279998</v>
      </c>
      <c r="R34" s="41">
        <v>-18239608.10441</v>
      </c>
      <c r="S34" s="41">
        <v>0</v>
      </c>
      <c r="T34" s="41">
        <v>0</v>
      </c>
      <c r="U34" s="40">
        <f>SUM(I34:T34)</f>
        <v>-185029636.89253002</v>
      </c>
      <c r="V34" s="42"/>
      <c r="W34" s="43"/>
      <c r="X34" s="43"/>
      <c r="Y34" s="43"/>
      <c r="Z34" s="44">
        <f>H34-U34</f>
        <v>-30342606.618469983</v>
      </c>
      <c r="AA34" s="1" t="e">
        <f>+#REF!-#REF!</f>
        <v>#REF!</v>
      </c>
      <c r="AB34" s="32">
        <v>247.8981299996376</v>
      </c>
    </row>
    <row r="35" spans="1:28" s="32" customFormat="1" ht="12.75" customHeight="1" x14ac:dyDescent="0.2">
      <c r="A35" s="44"/>
      <c r="B35" s="1"/>
      <c r="C35" s="55" t="s">
        <v>48</v>
      </c>
      <c r="D35" s="55"/>
      <c r="E35" s="55"/>
      <c r="F35" s="55"/>
      <c r="G35" s="46"/>
      <c r="H35" s="39">
        <v>1337.6089999999999</v>
      </c>
      <c r="I35" s="38">
        <v>92.286479999999997</v>
      </c>
      <c r="J35" s="43">
        <v>357.09545000000003</v>
      </c>
      <c r="K35" s="41">
        <v>176.53769</v>
      </c>
      <c r="L35" s="41">
        <v>68.885259999999988</v>
      </c>
      <c r="M35" s="41">
        <v>1661.1098300000001</v>
      </c>
      <c r="N35" s="41">
        <v>794.15470999999991</v>
      </c>
      <c r="O35" s="41">
        <v>362.46553</v>
      </c>
      <c r="P35" s="41">
        <v>214.13531</v>
      </c>
      <c r="Q35" s="41">
        <v>48.535129999999995</v>
      </c>
      <c r="R35" s="41">
        <v>343.37419</v>
      </c>
      <c r="S35" s="41">
        <v>0</v>
      </c>
      <c r="T35" s="41">
        <v>0</v>
      </c>
      <c r="U35" s="40">
        <f>SUM(I35:T35)</f>
        <v>4118.5795799999996</v>
      </c>
      <c r="V35" s="42"/>
      <c r="W35" s="43"/>
      <c r="X35" s="43"/>
      <c r="Y35" s="43"/>
      <c r="Z35" s="44">
        <f>H35-U35</f>
        <v>-2780.9705799999997</v>
      </c>
      <c r="AA35" s="1" t="e">
        <f>+#REF!-#REF!</f>
        <v>#REF!</v>
      </c>
      <c r="AB35" s="32">
        <v>0</v>
      </c>
    </row>
    <row r="36" spans="1:28" s="32" customFormat="1" ht="12.75" customHeight="1" x14ac:dyDescent="0.2">
      <c r="A36" s="44"/>
      <c r="B36" s="1"/>
      <c r="C36" s="55"/>
      <c r="D36" s="55"/>
      <c r="E36" s="55"/>
      <c r="F36" s="55"/>
      <c r="G36" s="46"/>
      <c r="H36" s="39"/>
      <c r="I36" s="38"/>
      <c r="J36" s="43"/>
      <c r="K36" s="41"/>
      <c r="L36" s="41"/>
      <c r="M36" s="41"/>
      <c r="N36" s="41"/>
      <c r="O36" s="41"/>
      <c r="P36" s="41"/>
      <c r="Q36" s="41"/>
      <c r="R36" s="41"/>
      <c r="S36" s="41"/>
      <c r="T36" s="41"/>
      <c r="U36" s="40"/>
      <c r="V36" s="42"/>
      <c r="W36" s="43"/>
      <c r="X36" s="43"/>
      <c r="Y36" s="43"/>
      <c r="Z36" s="44"/>
      <c r="AA36" s="1" t="e">
        <f>+#REF!-#REF!</f>
        <v>#REF!</v>
      </c>
      <c r="AB36" s="32">
        <v>0</v>
      </c>
    </row>
    <row r="37" spans="1:28" x14ac:dyDescent="0.2">
      <c r="A37" s="9"/>
      <c r="C37" s="1" t="s">
        <v>49</v>
      </c>
      <c r="E37" s="55"/>
      <c r="F37" s="55"/>
      <c r="G37" s="46"/>
      <c r="H37" s="63">
        <f>SUM(H38:H45)</f>
        <v>33777911.467</v>
      </c>
      <c r="I37" s="64">
        <f>SUM(I38:I45)</f>
        <v>1991407.8530100002</v>
      </c>
      <c r="J37" s="65">
        <f t="shared" ref="J37:T37" si="7">SUM(J38:J45)</f>
        <v>-332200.97429000004</v>
      </c>
      <c r="K37" s="66">
        <f t="shared" si="7"/>
        <v>563077.92375999992</v>
      </c>
      <c r="L37" s="66">
        <f t="shared" si="7"/>
        <v>1709727.8021600002</v>
      </c>
      <c r="M37" s="66">
        <f t="shared" si="7"/>
        <v>1373222.0260700001</v>
      </c>
      <c r="N37" s="66">
        <f t="shared" si="7"/>
        <v>1001956.2987799998</v>
      </c>
      <c r="O37" s="66">
        <f t="shared" si="7"/>
        <v>4188024.3445699997</v>
      </c>
      <c r="P37" s="66">
        <f t="shared" si="7"/>
        <v>4932372.628010001</v>
      </c>
      <c r="Q37" s="66">
        <f t="shared" si="7"/>
        <v>4034578.5773399994</v>
      </c>
      <c r="R37" s="66">
        <f t="shared" si="7"/>
        <v>3180587.28265</v>
      </c>
      <c r="S37" s="66">
        <f t="shared" si="7"/>
        <v>0</v>
      </c>
      <c r="T37" s="66">
        <f t="shared" si="7"/>
        <v>0</v>
      </c>
      <c r="U37" s="67">
        <f t="shared" ref="U37:U48" si="8">SUM(I37:T37)</f>
        <v>22642753.762060001</v>
      </c>
      <c r="V37" s="18"/>
      <c r="W37" s="43"/>
      <c r="X37" s="43"/>
      <c r="Y37" s="43"/>
      <c r="Z37" s="44">
        <f>H37-U37</f>
        <v>11135157.704939999</v>
      </c>
      <c r="AA37" s="1" t="e">
        <f>+#REF!-#REF!</f>
        <v>#REF!</v>
      </c>
      <c r="AB37" s="32">
        <v>-1.8989987671375275E-2</v>
      </c>
    </row>
    <row r="38" spans="1:28" ht="12.75" customHeight="1" x14ac:dyDescent="0.2">
      <c r="A38" s="9"/>
      <c r="E38" s="55" t="s">
        <v>50</v>
      </c>
      <c r="F38" s="55"/>
      <c r="G38" s="46"/>
      <c r="H38" s="39">
        <v>11035409.926999999</v>
      </c>
      <c r="I38" s="38">
        <v>78054.261659999989</v>
      </c>
      <c r="J38" s="43">
        <v>392.34933000000001</v>
      </c>
      <c r="K38" s="41">
        <v>1985.5041799999999</v>
      </c>
      <c r="L38" s="41">
        <v>483523.78136999998</v>
      </c>
      <c r="M38" s="41">
        <v>732721.62242999999</v>
      </c>
      <c r="N38" s="41">
        <v>156914.30515999999</v>
      </c>
      <c r="O38" s="41">
        <v>1116954.7629800001</v>
      </c>
      <c r="P38" s="41">
        <v>2683153.8275700002</v>
      </c>
      <c r="Q38" s="41">
        <v>2254546.5369899999</v>
      </c>
      <c r="R38" s="41">
        <v>213222.35999</v>
      </c>
      <c r="S38" s="41">
        <v>0</v>
      </c>
      <c r="T38" s="41">
        <v>0</v>
      </c>
      <c r="U38" s="40">
        <f t="shared" si="8"/>
        <v>7721469.3116600001</v>
      </c>
      <c r="V38" s="42"/>
      <c r="W38" s="43"/>
      <c r="X38" s="43"/>
      <c r="Y38" s="43"/>
      <c r="Z38" s="44">
        <f>H38-U38</f>
        <v>3313940.6153399991</v>
      </c>
      <c r="AA38" s="1" t="e">
        <f>+#REF!-#REF!</f>
        <v>#REF!</v>
      </c>
      <c r="AB38" s="32">
        <v>-0.12763000279664993</v>
      </c>
    </row>
    <row r="39" spans="1:28" ht="12.75" customHeight="1" x14ac:dyDescent="0.2">
      <c r="A39" s="9"/>
      <c r="E39" s="55" t="s">
        <v>51</v>
      </c>
      <c r="F39" s="55"/>
      <c r="G39" s="46"/>
      <c r="H39" s="39">
        <v>4289.2610000000004</v>
      </c>
      <c r="I39" s="38">
        <v>425.25809999999996</v>
      </c>
      <c r="J39" s="43">
        <v>224.7467</v>
      </c>
      <c r="K39" s="41">
        <v>5.7259999999999998E-2</v>
      </c>
      <c r="L39" s="41">
        <v>509.38524999999998</v>
      </c>
      <c r="M39" s="41">
        <v>128.83141000000001</v>
      </c>
      <c r="N39" s="41">
        <v>367.59075999999999</v>
      </c>
      <c r="O39" s="41">
        <v>413.69871999999998</v>
      </c>
      <c r="P39" s="41">
        <v>373.85462000000001</v>
      </c>
      <c r="Q39" s="41">
        <v>361.72765999999996</v>
      </c>
      <c r="R39" s="41">
        <v>326.33090999999996</v>
      </c>
      <c r="S39" s="41">
        <v>0</v>
      </c>
      <c r="T39" s="41">
        <v>0</v>
      </c>
      <c r="U39" s="40">
        <f t="shared" si="8"/>
        <v>3131.4813900000004</v>
      </c>
      <c r="V39" s="42"/>
      <c r="W39" s="43"/>
      <c r="X39" s="43"/>
      <c r="Y39" s="43"/>
      <c r="Z39" s="44">
        <f>H39-U39</f>
        <v>1157.77961</v>
      </c>
      <c r="AA39" s="1" t="e">
        <f>+#REF!-#REF!</f>
        <v>#REF!</v>
      </c>
      <c r="AB39" s="32">
        <v>-0.42710999999962951</v>
      </c>
    </row>
    <row r="40" spans="1:28" s="32" customFormat="1" ht="12.75" customHeight="1" x14ac:dyDescent="0.2">
      <c r="A40" s="44"/>
      <c r="B40" s="1"/>
      <c r="C40" s="1"/>
      <c r="E40" s="55" t="s">
        <v>52</v>
      </c>
      <c r="F40" s="55"/>
      <c r="G40" s="46"/>
      <c r="H40" s="39">
        <v>4283344.7180000003</v>
      </c>
      <c r="I40" s="38">
        <v>59461.878259999998</v>
      </c>
      <c r="J40" s="43">
        <v>2032.2235900000001</v>
      </c>
      <c r="K40" s="41">
        <v>10311.17325</v>
      </c>
      <c r="L40" s="41">
        <v>139841.67874999999</v>
      </c>
      <c r="M40" s="41">
        <v>10883.90263</v>
      </c>
      <c r="N40" s="41">
        <v>60400.805850000004</v>
      </c>
      <c r="O40" s="41">
        <v>504205.09276999999</v>
      </c>
      <c r="P40" s="41">
        <v>463717.46691000002</v>
      </c>
      <c r="Q40" s="41">
        <v>605844.88520000002</v>
      </c>
      <c r="R40" s="41">
        <v>515556.80114999996</v>
      </c>
      <c r="S40" s="41">
        <v>0</v>
      </c>
      <c r="T40" s="41">
        <v>0</v>
      </c>
      <c r="U40" s="40">
        <f t="shared" si="8"/>
        <v>2372255.9083599998</v>
      </c>
      <c r="V40" s="42"/>
      <c r="W40" s="43"/>
      <c r="X40" s="43"/>
      <c r="Y40" s="43"/>
      <c r="Z40" s="44">
        <f>H40-U40</f>
        <v>1911088.8096400006</v>
      </c>
      <c r="AA40" s="1" t="e">
        <f>+#REF!-#REF!</f>
        <v>#REF!</v>
      </c>
      <c r="AB40" s="32">
        <v>0.15277000050991774</v>
      </c>
    </row>
    <row r="41" spans="1:28" ht="12.75" customHeight="1" x14ac:dyDescent="0.2">
      <c r="A41" s="9"/>
      <c r="E41" s="55" t="s">
        <v>53</v>
      </c>
      <c r="F41" s="55"/>
      <c r="G41" s="46"/>
      <c r="H41" s="39">
        <v>7271730.7659999998</v>
      </c>
      <c r="I41" s="38">
        <v>452189.48809</v>
      </c>
      <c r="J41" s="43">
        <v>22998.270989999997</v>
      </c>
      <c r="K41" s="41">
        <v>530527.09701999999</v>
      </c>
      <c r="L41" s="41">
        <v>507927.39297000004</v>
      </c>
      <c r="M41" s="41">
        <v>299222.33916999999</v>
      </c>
      <c r="N41" s="41">
        <v>329870.84451999998</v>
      </c>
      <c r="O41" s="41">
        <v>742830.71201999998</v>
      </c>
      <c r="P41" s="41">
        <v>1143657.39182</v>
      </c>
      <c r="Q41" s="41">
        <v>633891.47451999993</v>
      </c>
      <c r="R41" s="41">
        <v>861471.52591999993</v>
      </c>
      <c r="S41" s="41">
        <v>0</v>
      </c>
      <c r="T41" s="41">
        <v>0</v>
      </c>
      <c r="U41" s="40">
        <f t="shared" si="8"/>
        <v>5524586.5370399999</v>
      </c>
      <c r="V41" s="42"/>
      <c r="W41" s="43"/>
      <c r="X41" s="43"/>
      <c r="Y41" s="43"/>
      <c r="Z41" s="44">
        <f>H41-U41</f>
        <v>1747144.22896</v>
      </c>
      <c r="AA41" s="1" t="e">
        <f>+#REF!-#REF!</f>
        <v>#REF!</v>
      </c>
      <c r="AB41" s="32">
        <v>0.15080999955534935</v>
      </c>
    </row>
    <row r="42" spans="1:28" ht="12.75" customHeight="1" x14ac:dyDescent="0.2">
      <c r="A42" s="9"/>
      <c r="E42" s="612" t="s">
        <v>54</v>
      </c>
      <c r="F42" s="612"/>
      <c r="G42" s="613"/>
      <c r="H42" s="39">
        <v>8452730.6180000007</v>
      </c>
      <c r="I42" s="38">
        <v>813649.3255700001</v>
      </c>
      <c r="J42" s="43">
        <v>4202.4741599999998</v>
      </c>
      <c r="K42" s="41">
        <v>2015.8130000000001</v>
      </c>
      <c r="L42" s="41">
        <v>67153.999580000003</v>
      </c>
      <c r="M42" s="41">
        <v>54639.81</v>
      </c>
      <c r="N42" s="41">
        <v>70572.898140000005</v>
      </c>
      <c r="O42" s="41">
        <v>1962986.4908</v>
      </c>
      <c r="P42" s="41">
        <v>526604.11269999994</v>
      </c>
      <c r="Q42" s="41">
        <v>454369.89654000005</v>
      </c>
      <c r="R42" s="41">
        <v>1159570.1090200001</v>
      </c>
      <c r="S42" s="41">
        <v>0</v>
      </c>
      <c r="T42" s="41">
        <v>0</v>
      </c>
      <c r="U42" s="40">
        <f t="shared" si="8"/>
        <v>5115764.9295100002</v>
      </c>
      <c r="V42" s="42"/>
      <c r="W42" s="43"/>
      <c r="X42" s="43"/>
      <c r="Y42" s="43"/>
      <c r="Z42" s="44">
        <f>H42-U42</f>
        <v>3336965.6884900006</v>
      </c>
      <c r="AA42" s="1" t="e">
        <f>+#REF!-#REF!</f>
        <v>#REF!</v>
      </c>
      <c r="AB42" s="32">
        <v>-1.2929998338222504E-2</v>
      </c>
    </row>
    <row r="43" spans="1:28" ht="12.75" customHeight="1" x14ac:dyDescent="0.2">
      <c r="A43" s="9"/>
      <c r="E43" s="55" t="s">
        <v>55</v>
      </c>
      <c r="F43" s="61"/>
      <c r="G43" s="46"/>
      <c r="H43" s="39">
        <v>443812.05300000001</v>
      </c>
      <c r="I43" s="38">
        <v>122052.86167</v>
      </c>
      <c r="J43" s="43">
        <v>1675.7114099999999</v>
      </c>
      <c r="K43" s="41">
        <v>1833.711</v>
      </c>
      <c r="L43" s="41">
        <v>9587.91093</v>
      </c>
      <c r="M43" s="41">
        <v>11040.439970000001</v>
      </c>
      <c r="N43" s="41">
        <v>12029.512570000001</v>
      </c>
      <c r="O43" s="41">
        <v>88439.733699999997</v>
      </c>
      <c r="P43" s="41">
        <v>54735.244939999997</v>
      </c>
      <c r="Q43" s="41">
        <v>29323.613170000001</v>
      </c>
      <c r="R43" s="41">
        <v>41079.841799999995</v>
      </c>
      <c r="S43" s="41">
        <v>0</v>
      </c>
      <c r="T43" s="41">
        <v>0</v>
      </c>
      <c r="U43" s="40">
        <f t="shared" si="8"/>
        <v>371798.58116</v>
      </c>
      <c r="V43" s="42"/>
      <c r="W43" s="43"/>
      <c r="X43" s="43"/>
      <c r="Y43" s="43"/>
      <c r="Z43" s="44">
        <f>H43-U43</f>
        <v>72013.471840000013</v>
      </c>
      <c r="AA43" s="1" t="e">
        <f>+#REF!-#REF!</f>
        <v>#REF!</v>
      </c>
      <c r="AB43" s="32">
        <v>0.27573999995365739</v>
      </c>
    </row>
    <row r="44" spans="1:28" ht="12.75" customHeight="1" x14ac:dyDescent="0.2">
      <c r="A44" s="9"/>
      <c r="E44" s="55" t="s">
        <v>56</v>
      </c>
      <c r="F44" s="61"/>
      <c r="G44" s="46" t="s">
        <v>57</v>
      </c>
      <c r="H44" s="39">
        <v>810323.924</v>
      </c>
      <c r="I44" s="38">
        <v>463724.63547000004</v>
      </c>
      <c r="J44" s="43">
        <v>-363726.75047000003</v>
      </c>
      <c r="K44" s="41">
        <v>16404.568050000002</v>
      </c>
      <c r="L44" s="41">
        <v>38381.618490000001</v>
      </c>
      <c r="M44" s="41">
        <v>264585.08046000003</v>
      </c>
      <c r="N44" s="41">
        <v>354138.52256000001</v>
      </c>
      <c r="O44" s="41">
        <v>-387300.35839000001</v>
      </c>
      <c r="P44" s="41">
        <v>60130.729450000006</v>
      </c>
      <c r="Q44" s="41">
        <v>56240.44326</v>
      </c>
      <c r="R44" s="41">
        <v>60721.679179999999</v>
      </c>
      <c r="S44" s="41">
        <v>0</v>
      </c>
      <c r="T44" s="41">
        <v>0</v>
      </c>
      <c r="U44" s="40">
        <f t="shared" si="8"/>
        <v>563300.16805999994</v>
      </c>
      <c r="V44" s="42"/>
      <c r="W44" s="43"/>
      <c r="X44" s="43"/>
      <c r="Y44" s="43"/>
      <c r="Z44" s="44">
        <f>H44-U44</f>
        <v>247023.75594000006</v>
      </c>
      <c r="AA44" s="1" t="e">
        <f>+#REF!-#REF!</f>
        <v>#REF!</v>
      </c>
      <c r="AB44" s="32">
        <v>0.35910000000149012</v>
      </c>
    </row>
    <row r="45" spans="1:28" ht="12.75" customHeight="1" x14ac:dyDescent="0.2">
      <c r="A45" s="9"/>
      <c r="E45" s="606" t="s">
        <v>58</v>
      </c>
      <c r="F45" s="606"/>
      <c r="G45" s="46" t="s">
        <v>59</v>
      </c>
      <c r="H45" s="63">
        <v>1476270.2</v>
      </c>
      <c r="I45" s="64">
        <v>1850.14419</v>
      </c>
      <c r="J45" s="65">
        <v>0</v>
      </c>
      <c r="K45" s="66">
        <v>0</v>
      </c>
      <c r="L45" s="66">
        <v>462802.03482</v>
      </c>
      <c r="M45" s="66">
        <v>0</v>
      </c>
      <c r="N45" s="66">
        <v>17661.819219999998</v>
      </c>
      <c r="O45" s="66">
        <v>159494.21197</v>
      </c>
      <c r="P45" s="66">
        <v>0</v>
      </c>
      <c r="Q45" s="66">
        <v>0</v>
      </c>
      <c r="R45" s="66">
        <v>328638.63468000002</v>
      </c>
      <c r="S45" s="66">
        <v>0</v>
      </c>
      <c r="T45" s="66">
        <v>0</v>
      </c>
      <c r="U45" s="67">
        <f t="shared" si="8"/>
        <v>970446.84488000011</v>
      </c>
      <c r="V45" s="42"/>
      <c r="W45" s="43"/>
      <c r="X45" s="43"/>
      <c r="Y45" s="43"/>
      <c r="Z45" s="44">
        <f>H45-U45</f>
        <v>505823.35511999985</v>
      </c>
      <c r="AA45" s="1" t="e">
        <f>+#REF!-#REF!</f>
        <v>#REF!</v>
      </c>
      <c r="AB45" s="32">
        <v>-0.38974000001326203</v>
      </c>
    </row>
    <row r="46" spans="1:28" ht="12.75" customHeight="1" x14ac:dyDescent="0.2">
      <c r="A46" s="9"/>
      <c r="C46" s="1" t="s">
        <v>60</v>
      </c>
      <c r="F46" s="61"/>
      <c r="G46" s="46"/>
      <c r="H46" s="39">
        <v>3201639.628</v>
      </c>
      <c r="I46" s="38">
        <v>822372.64898000006</v>
      </c>
      <c r="J46" s="43">
        <v>5065.5160199999991</v>
      </c>
      <c r="K46" s="41">
        <v>9728.25641</v>
      </c>
      <c r="L46" s="41">
        <v>414007.68244999996</v>
      </c>
      <c r="M46" s="41">
        <v>166.27601000000001</v>
      </c>
      <c r="N46" s="41">
        <v>1550.9545500000002</v>
      </c>
      <c r="O46" s="41">
        <v>895232.56822000002</v>
      </c>
      <c r="P46" s="41">
        <v>6643.6721600000001</v>
      </c>
      <c r="Q46" s="41">
        <v>-256.33217000000002</v>
      </c>
      <c r="R46" s="41">
        <v>1173280.79853</v>
      </c>
      <c r="S46" s="41">
        <v>0</v>
      </c>
      <c r="T46" s="41">
        <v>0</v>
      </c>
      <c r="U46" s="40">
        <f t="shared" si="8"/>
        <v>3327792.0411600005</v>
      </c>
      <c r="V46" s="42"/>
      <c r="W46" s="43"/>
      <c r="X46" s="43"/>
      <c r="Y46" s="43"/>
      <c r="Z46" s="44">
        <f>H46-U46</f>
        <v>-126152.41316000046</v>
      </c>
      <c r="AA46" s="1" t="e">
        <f>+#REF!-#REF!</f>
        <v>#REF!</v>
      </c>
      <c r="AB46" s="32">
        <v>-0.32648999989032745</v>
      </c>
    </row>
    <row r="47" spans="1:28" ht="12.75" customHeight="1" x14ac:dyDescent="0.2">
      <c r="A47" s="9"/>
      <c r="C47" s="1" t="s">
        <v>61</v>
      </c>
      <c r="F47" s="61"/>
      <c r="G47" s="46"/>
      <c r="H47" s="39">
        <v>2076036.676</v>
      </c>
      <c r="I47" s="38">
        <v>185135.75828000001</v>
      </c>
      <c r="J47" s="43">
        <v>113348.94443999999</v>
      </c>
      <c r="K47" s="41">
        <v>109092.40106</v>
      </c>
      <c r="L47" s="41">
        <v>124980.42164</v>
      </c>
      <c r="M47" s="41">
        <v>134741.58343999999</v>
      </c>
      <c r="N47" s="41">
        <v>156124.90093</v>
      </c>
      <c r="O47" s="41">
        <v>188449.44688999999</v>
      </c>
      <c r="P47" s="41">
        <v>217916.20838999999</v>
      </c>
      <c r="Q47" s="41">
        <v>210652.12862</v>
      </c>
      <c r="R47" s="41">
        <v>234443.85879</v>
      </c>
      <c r="S47" s="41">
        <v>0</v>
      </c>
      <c r="T47" s="41">
        <v>0</v>
      </c>
      <c r="U47" s="40">
        <f t="shared" si="8"/>
        <v>1674885.6524799999</v>
      </c>
      <c r="V47" s="42"/>
      <c r="W47" s="43"/>
      <c r="X47" s="43"/>
      <c r="Y47" s="43"/>
      <c r="Z47" s="44">
        <f>H47-U47</f>
        <v>401151.02352000005</v>
      </c>
      <c r="AA47" s="1" t="e">
        <f>+#REF!-#REF!</f>
        <v>#REF!</v>
      </c>
      <c r="AB47" s="32">
        <v>0</v>
      </c>
    </row>
    <row r="48" spans="1:28" ht="12.75" customHeight="1" x14ac:dyDescent="0.2">
      <c r="A48" s="9"/>
      <c r="C48" s="1" t="s">
        <v>62</v>
      </c>
      <c r="F48" s="61"/>
      <c r="G48" s="46"/>
      <c r="H48" s="39">
        <v>68383890.637000009</v>
      </c>
      <c r="I48" s="38">
        <v>5701916.3850499997</v>
      </c>
      <c r="J48" s="43">
        <v>3646380.0375699997</v>
      </c>
      <c r="K48" s="41">
        <v>1833329.8482299997</v>
      </c>
      <c r="L48" s="41">
        <v>4773113.7970500002</v>
      </c>
      <c r="M48" s="41">
        <v>6807650.8402999993</v>
      </c>
      <c r="N48" s="41">
        <v>9500649.9982699994</v>
      </c>
      <c r="O48" s="41">
        <v>9339581.0962899979</v>
      </c>
      <c r="P48" s="41">
        <v>6652096.6077399999</v>
      </c>
      <c r="Q48" s="41">
        <v>6796289.2272900008</v>
      </c>
      <c r="R48" s="41">
        <v>7428417.7116099996</v>
      </c>
      <c r="S48" s="41">
        <v>0</v>
      </c>
      <c r="T48" s="41">
        <v>0</v>
      </c>
      <c r="U48" s="40">
        <f t="shared" si="8"/>
        <v>62479425.549399994</v>
      </c>
      <c r="V48" s="42"/>
      <c r="W48" s="43"/>
      <c r="X48" s="43"/>
      <c r="Y48" s="43"/>
      <c r="Z48" s="44">
        <f>H48-U48</f>
        <v>5904465.0876000151</v>
      </c>
      <c r="AA48" s="1" t="e">
        <f>+#REF!-#REF!</f>
        <v>#REF!</v>
      </c>
      <c r="AB48" s="32">
        <v>-16.673299998044968</v>
      </c>
    </row>
    <row r="49" spans="1:28" ht="12.75" customHeight="1" x14ac:dyDescent="0.2">
      <c r="A49" s="9"/>
      <c r="E49" s="68" t="s">
        <v>63</v>
      </c>
      <c r="F49" s="61"/>
      <c r="G49" s="46"/>
      <c r="H49" s="39"/>
      <c r="I49" s="38"/>
      <c r="J49" s="43"/>
      <c r="K49" s="41"/>
      <c r="L49" s="41"/>
      <c r="M49" s="41"/>
      <c r="N49" s="41"/>
      <c r="O49" s="41"/>
      <c r="P49" s="41"/>
      <c r="Q49" s="41"/>
      <c r="R49" s="41"/>
      <c r="S49" s="41"/>
      <c r="T49" s="41"/>
      <c r="U49" s="40"/>
      <c r="V49" s="42"/>
      <c r="W49" s="43"/>
      <c r="X49" s="43"/>
      <c r="Y49" s="43"/>
      <c r="Z49" s="44"/>
      <c r="AA49" s="1" t="e">
        <f>+#REF!-#REF!</f>
        <v>#REF!</v>
      </c>
      <c r="AB49" s="32">
        <v>0</v>
      </c>
    </row>
    <row r="50" spans="1:28" s="32" customFormat="1" ht="12.75" customHeight="1" x14ac:dyDescent="0.2">
      <c r="A50" s="44"/>
      <c r="E50" s="32" t="s">
        <v>64</v>
      </c>
      <c r="F50" s="61"/>
      <c r="G50" s="46"/>
      <c r="H50" s="69">
        <f t="shared" ref="H50:R50" si="9">SUM(H51:H52)</f>
        <v>1241727.442</v>
      </c>
      <c r="I50" s="11">
        <f t="shared" si="9"/>
        <v>121508.67478999999</v>
      </c>
      <c r="J50" s="43">
        <f t="shared" si="9"/>
        <v>84551.576229999991</v>
      </c>
      <c r="K50" s="41">
        <f t="shared" si="9"/>
        <v>46962.2958</v>
      </c>
      <c r="L50" s="69">
        <f t="shared" si="9"/>
        <v>104872.55524</v>
      </c>
      <c r="M50" s="70">
        <f t="shared" si="9"/>
        <v>151952.50563999999</v>
      </c>
      <c r="N50" s="70">
        <f t="shared" si="9"/>
        <v>168070.07587</v>
      </c>
      <c r="O50" s="70">
        <f t="shared" si="9"/>
        <v>189099.96143</v>
      </c>
      <c r="P50" s="70">
        <f t="shared" si="9"/>
        <v>141508.16481000002</v>
      </c>
      <c r="Q50" s="70">
        <f t="shared" si="9"/>
        <v>140257.82496999999</v>
      </c>
      <c r="R50" s="70">
        <f t="shared" si="9"/>
        <v>152619.83791</v>
      </c>
      <c r="S50" s="70">
        <v>0</v>
      </c>
      <c r="T50" s="70">
        <v>0</v>
      </c>
      <c r="U50" s="71">
        <f>SUM(U51:U52)</f>
        <v>1301403.47269</v>
      </c>
      <c r="V50" s="73"/>
      <c r="W50" s="72"/>
      <c r="X50" s="72"/>
      <c r="Y50" s="72"/>
      <c r="Z50" s="44">
        <f>H50-U50</f>
        <v>-59676.030689999927</v>
      </c>
      <c r="AA50" s="1" t="e">
        <f>+#REF!-#REF!</f>
        <v>#REF!</v>
      </c>
      <c r="AB50" s="32">
        <v>0</v>
      </c>
    </row>
    <row r="51" spans="1:28" s="32" customFormat="1" ht="12.75" customHeight="1" x14ac:dyDescent="0.2">
      <c r="A51" s="44"/>
      <c r="E51" s="74" t="s">
        <v>65</v>
      </c>
      <c r="F51" s="61"/>
      <c r="G51" s="46"/>
      <c r="H51" s="69">
        <v>1025165.618</v>
      </c>
      <c r="I51" s="11">
        <v>111705.54444</v>
      </c>
      <c r="J51" s="72">
        <v>75853.334739999991</v>
      </c>
      <c r="K51" s="70">
        <v>34498.877</v>
      </c>
      <c r="L51" s="70">
        <v>81014.502160000004</v>
      </c>
      <c r="M51" s="70">
        <v>119220.27217</v>
      </c>
      <c r="N51" s="70">
        <v>137393.81875000001</v>
      </c>
      <c r="O51" s="70">
        <v>164835.85774000001</v>
      </c>
      <c r="P51" s="70">
        <v>123043.38761000001</v>
      </c>
      <c r="Q51" s="70">
        <v>117831.72095999999</v>
      </c>
      <c r="R51" s="70">
        <v>123670.26723</v>
      </c>
      <c r="S51" s="70">
        <v>0</v>
      </c>
      <c r="T51" s="70">
        <v>0</v>
      </c>
      <c r="U51" s="71">
        <f>SUM(I51:T51)</f>
        <v>1089067.5828</v>
      </c>
      <c r="V51" s="73"/>
      <c r="W51" s="72"/>
      <c r="X51" s="72"/>
      <c r="Y51" s="72"/>
      <c r="Z51" s="44"/>
      <c r="AA51" s="1" t="e">
        <f>+#REF!-#REF!</f>
        <v>#REF!</v>
      </c>
      <c r="AB51" s="32">
        <v>0</v>
      </c>
    </row>
    <row r="52" spans="1:28" s="32" customFormat="1" ht="12.75" customHeight="1" x14ac:dyDescent="0.2">
      <c r="A52" s="44"/>
      <c r="E52" s="74" t="s">
        <v>66</v>
      </c>
      <c r="F52" s="61"/>
      <c r="G52" s="46"/>
      <c r="H52" s="75">
        <v>216561.82399999999</v>
      </c>
      <c r="I52" s="76">
        <v>9803.1303499999995</v>
      </c>
      <c r="J52" s="76">
        <v>8698.2414900000003</v>
      </c>
      <c r="K52" s="75">
        <v>12463.418800000001</v>
      </c>
      <c r="L52" s="75">
        <v>23858.053079999998</v>
      </c>
      <c r="M52" s="75">
        <v>32732.233469999999</v>
      </c>
      <c r="N52" s="75">
        <v>30676.257120000002</v>
      </c>
      <c r="O52" s="75">
        <v>24264.10369</v>
      </c>
      <c r="P52" s="75">
        <v>18464.7772</v>
      </c>
      <c r="Q52" s="75">
        <v>22426.104010000003</v>
      </c>
      <c r="R52" s="75">
        <v>28949.570680000001</v>
      </c>
      <c r="S52" s="75">
        <v>0</v>
      </c>
      <c r="T52" s="75">
        <v>0</v>
      </c>
      <c r="U52" s="77">
        <f>SUM(I52:T52)</f>
        <v>212335.88989000002</v>
      </c>
      <c r="V52" s="73"/>
      <c r="W52" s="72"/>
      <c r="X52" s="72"/>
      <c r="Y52" s="72"/>
      <c r="Z52" s="44">
        <f>H52-U52</f>
        <v>4225.9341099999729</v>
      </c>
      <c r="AA52" s="1" t="e">
        <f>+#REF!-#REF!</f>
        <v>#REF!</v>
      </c>
      <c r="AB52" s="32">
        <v>0</v>
      </c>
    </row>
    <row r="53" spans="1:28" ht="12.75" customHeight="1" x14ac:dyDescent="0.2">
      <c r="A53" s="9"/>
      <c r="C53" s="606" t="s">
        <v>67</v>
      </c>
      <c r="D53" s="606"/>
      <c r="E53" s="606"/>
      <c r="F53" s="606"/>
      <c r="G53" s="607"/>
      <c r="H53" s="39"/>
      <c r="I53" s="38"/>
      <c r="J53" s="43"/>
      <c r="K53" s="41"/>
      <c r="L53" s="41"/>
      <c r="M53" s="41"/>
      <c r="N53" s="41"/>
      <c r="O53" s="41"/>
      <c r="P53" s="41"/>
      <c r="Q53" s="41"/>
      <c r="R53" s="41"/>
      <c r="S53" s="41"/>
      <c r="T53" s="41"/>
      <c r="U53" s="40"/>
      <c r="V53" s="42"/>
      <c r="W53" s="43"/>
      <c r="X53" s="43"/>
      <c r="Y53" s="43"/>
      <c r="Z53" s="44">
        <f>H53-U53</f>
        <v>0</v>
      </c>
      <c r="AA53" s="1" t="e">
        <f>+#REF!-#REF!</f>
        <v>#REF!</v>
      </c>
      <c r="AB53" s="32">
        <v>0</v>
      </c>
    </row>
    <row r="54" spans="1:28" ht="12.75" customHeight="1" x14ac:dyDescent="0.2">
      <c r="A54" s="9"/>
      <c r="E54" s="55" t="s">
        <v>68</v>
      </c>
      <c r="F54" s="55"/>
      <c r="G54" s="46"/>
      <c r="H54" s="39">
        <v>180720.30300000001</v>
      </c>
      <c r="I54" s="38">
        <v>44499.3</v>
      </c>
      <c r="J54" s="43">
        <v>7339.5190000000002</v>
      </c>
      <c r="K54" s="41">
        <v>9838.8181100000002</v>
      </c>
      <c r="L54" s="41">
        <v>2593.24125</v>
      </c>
      <c r="M54" s="41">
        <v>2419.38679</v>
      </c>
      <c r="N54" s="41">
        <v>2911.0088799999999</v>
      </c>
      <c r="O54" s="41">
        <v>2404.6863699999999</v>
      </c>
      <c r="P54" s="41">
        <v>8588.8708299999998</v>
      </c>
      <c r="Q54" s="41">
        <v>11949.722390000001</v>
      </c>
      <c r="R54" s="41">
        <v>19352.721219999999</v>
      </c>
      <c r="S54" s="41">
        <v>0</v>
      </c>
      <c r="T54" s="41">
        <v>0</v>
      </c>
      <c r="U54" s="40">
        <f t="shared" ref="U54:U63" si="10">SUM(I54:T54)</f>
        <v>111897.27484</v>
      </c>
      <c r="V54" s="42"/>
      <c r="W54" s="43"/>
      <c r="X54" s="43"/>
      <c r="Y54" s="43"/>
      <c r="Z54" s="44">
        <f>H54-U54</f>
        <v>68823.028160000016</v>
      </c>
      <c r="AA54" s="1" t="e">
        <f>+#REF!-#REF!</f>
        <v>#REF!</v>
      </c>
      <c r="AB54" s="32">
        <v>-0.26537999999709427</v>
      </c>
    </row>
    <row r="55" spans="1:28" ht="12.75" customHeight="1" x14ac:dyDescent="0.2">
      <c r="A55" s="9"/>
      <c r="E55" s="55" t="s">
        <v>69</v>
      </c>
      <c r="F55" s="55"/>
      <c r="G55" s="46"/>
      <c r="H55" s="63">
        <v>353340.50400000002</v>
      </c>
      <c r="I55" s="64">
        <v>2102.3136199999999</v>
      </c>
      <c r="J55" s="65">
        <v>4279.8074500000002</v>
      </c>
      <c r="K55" s="66">
        <v>105062.09069</v>
      </c>
      <c r="L55" s="66">
        <v>1330.6143999999999</v>
      </c>
      <c r="M55" s="66">
        <v>1374.28125</v>
      </c>
      <c r="N55" s="66">
        <v>140826.21997999999</v>
      </c>
      <c r="O55" s="66">
        <v>1433.5246499999998</v>
      </c>
      <c r="P55" s="66">
        <v>1392.76125</v>
      </c>
      <c r="Q55" s="66">
        <v>178558.00097999998</v>
      </c>
      <c r="R55" s="66">
        <v>5178.6430599999994</v>
      </c>
      <c r="S55" s="66">
        <v>0</v>
      </c>
      <c r="T55" s="66">
        <v>0</v>
      </c>
      <c r="U55" s="67">
        <f t="shared" si="10"/>
        <v>441538.25732999999</v>
      </c>
      <c r="V55" s="42"/>
      <c r="W55" s="43"/>
      <c r="X55" s="43"/>
      <c r="Y55" s="43"/>
      <c r="Z55" s="44">
        <f>H55-U55</f>
        <v>-88197.753329999978</v>
      </c>
      <c r="AA55" s="1" t="e">
        <f>+#REF!-#REF!</f>
        <v>#REF!</v>
      </c>
      <c r="AB55" s="32">
        <v>6.6040000063367188E-2</v>
      </c>
    </row>
    <row r="56" spans="1:28" ht="12.75" customHeight="1" x14ac:dyDescent="0.2">
      <c r="A56" s="9"/>
      <c r="E56" s="55" t="s">
        <v>70</v>
      </c>
      <c r="F56" s="55"/>
      <c r="G56" s="46"/>
      <c r="H56" s="63">
        <v>7554523.2110000001</v>
      </c>
      <c r="I56" s="64">
        <v>663677.81744000001</v>
      </c>
      <c r="J56" s="65">
        <v>516013.16327999998</v>
      </c>
      <c r="K56" s="66">
        <v>630236.35684000002</v>
      </c>
      <c r="L56" s="66">
        <v>680668.51142</v>
      </c>
      <c r="M56" s="66">
        <v>707817.28547</v>
      </c>
      <c r="N56" s="66">
        <v>681945.63951999997</v>
      </c>
      <c r="O56" s="66">
        <v>658415.67720000003</v>
      </c>
      <c r="P56" s="66">
        <v>684664.91873999999</v>
      </c>
      <c r="Q56" s="66">
        <v>651100.69027000002</v>
      </c>
      <c r="R56" s="66">
        <v>638034.44986000005</v>
      </c>
      <c r="S56" s="66">
        <v>0</v>
      </c>
      <c r="T56" s="66">
        <v>0</v>
      </c>
      <c r="U56" s="67">
        <f t="shared" si="10"/>
        <v>6512574.5100399991</v>
      </c>
      <c r="V56" s="42"/>
      <c r="W56" s="43"/>
      <c r="X56" s="43"/>
      <c r="Y56" s="43"/>
      <c r="Z56" s="44">
        <f>H56-U56</f>
        <v>1041948.700960001</v>
      </c>
      <c r="AA56" s="1" t="e">
        <f>+#REF!-#REF!</f>
        <v>#REF!</v>
      </c>
      <c r="AB56" s="32">
        <v>-0.17494000121951103</v>
      </c>
    </row>
    <row r="57" spans="1:28" ht="12.75" customHeight="1" x14ac:dyDescent="0.2">
      <c r="A57" s="9"/>
      <c r="E57" s="55" t="s">
        <v>71</v>
      </c>
      <c r="F57" s="55"/>
      <c r="G57" s="38"/>
      <c r="H57" s="63">
        <v>37167.678999999996</v>
      </c>
      <c r="I57" s="64">
        <v>4415.4679400000005</v>
      </c>
      <c r="J57" s="65">
        <v>4473.4460599999993</v>
      </c>
      <c r="K57" s="66">
        <v>904.2</v>
      </c>
      <c r="L57" s="66">
        <v>1248.08</v>
      </c>
      <c r="M57" s="66">
        <v>854.00599999999997</v>
      </c>
      <c r="N57" s="66">
        <v>1321.7719999999999</v>
      </c>
      <c r="O57" s="66">
        <v>1703.4860000000001</v>
      </c>
      <c r="P57" s="66">
        <v>1840.91419</v>
      </c>
      <c r="Q57" s="66">
        <v>1314.7673500000001</v>
      </c>
      <c r="R57" s="66">
        <v>1369.5740000000001</v>
      </c>
      <c r="S57" s="66">
        <v>0</v>
      </c>
      <c r="T57" s="66">
        <v>0</v>
      </c>
      <c r="U57" s="67">
        <f t="shared" si="10"/>
        <v>19445.713540000004</v>
      </c>
      <c r="V57" s="42"/>
      <c r="W57" s="43"/>
      <c r="X57" s="43"/>
      <c r="Y57" s="43"/>
      <c r="Z57" s="44">
        <f>H57-U57</f>
        <v>17721.965459999992</v>
      </c>
      <c r="AA57" s="1" t="e">
        <f>+#REF!-#REF!</f>
        <v>#REF!</v>
      </c>
      <c r="AB57" s="32">
        <v>9.4299999997019768E-2</v>
      </c>
    </row>
    <row r="58" spans="1:28" ht="12.75" customHeight="1" x14ac:dyDescent="0.2">
      <c r="A58" s="9"/>
      <c r="E58" s="612" t="s">
        <v>72</v>
      </c>
      <c r="F58" s="612"/>
      <c r="G58" s="38"/>
      <c r="H58" s="63">
        <v>1125614.3230000001</v>
      </c>
      <c r="I58" s="64">
        <v>102172.43</v>
      </c>
      <c r="J58" s="65">
        <v>25403.27</v>
      </c>
      <c r="K58" s="66">
        <v>44642.238840000005</v>
      </c>
      <c r="L58" s="66">
        <v>110784.27191</v>
      </c>
      <c r="M58" s="66">
        <v>67305.844060000003</v>
      </c>
      <c r="N58" s="66">
        <v>89155.548139999999</v>
      </c>
      <c r="O58" s="66">
        <v>218224.64413</v>
      </c>
      <c r="P58" s="66">
        <v>120660.51315</v>
      </c>
      <c r="Q58" s="66">
        <v>121271.72165000001</v>
      </c>
      <c r="R58" s="66">
        <v>254939.55093999999</v>
      </c>
      <c r="S58" s="66">
        <v>0</v>
      </c>
      <c r="T58" s="66">
        <v>0</v>
      </c>
      <c r="U58" s="67">
        <f t="shared" si="10"/>
        <v>1154560.0328199998</v>
      </c>
      <c r="V58" s="42"/>
      <c r="W58" s="43"/>
      <c r="X58" s="43"/>
      <c r="Y58" s="43"/>
      <c r="Z58" s="44">
        <f>H58-U58</f>
        <v>-28945.709819999756</v>
      </c>
      <c r="AA58" s="1" t="e">
        <f>+#REF!-#REF!</f>
        <v>#REF!</v>
      </c>
      <c r="AB58" s="32">
        <v>1.5519999898970127E-2</v>
      </c>
    </row>
    <row r="59" spans="1:28" ht="12.75" customHeight="1" x14ac:dyDescent="0.2">
      <c r="A59" s="9"/>
      <c r="E59" s="55" t="s">
        <v>73</v>
      </c>
      <c r="G59" s="38"/>
      <c r="H59" s="63">
        <v>612246.06099999999</v>
      </c>
      <c r="I59" s="64">
        <v>62375.55186</v>
      </c>
      <c r="J59" s="65">
        <v>22795.161649999998</v>
      </c>
      <c r="K59" s="66">
        <v>25146.591039999999</v>
      </c>
      <c r="L59" s="66">
        <v>41291.678500000002</v>
      </c>
      <c r="M59" s="66">
        <v>33732.366000000002</v>
      </c>
      <c r="N59" s="66">
        <v>32719.31825</v>
      </c>
      <c r="O59" s="66">
        <v>96670.641250000001</v>
      </c>
      <c r="P59" s="66">
        <v>39371.064850000002</v>
      </c>
      <c r="Q59" s="66">
        <v>43156.036039999999</v>
      </c>
      <c r="R59" s="66">
        <v>87442.435980000009</v>
      </c>
      <c r="S59" s="66">
        <v>0</v>
      </c>
      <c r="T59" s="66">
        <v>0</v>
      </c>
      <c r="U59" s="67">
        <f t="shared" si="10"/>
        <v>484700.84542000003</v>
      </c>
      <c r="V59" s="42"/>
      <c r="W59" s="43"/>
      <c r="X59" s="43"/>
      <c r="Y59" s="43"/>
      <c r="Z59" s="44">
        <f>H59-U59</f>
        <v>127545.21557999996</v>
      </c>
      <c r="AA59" s="1" t="e">
        <f>+#REF!-#REF!</f>
        <v>#REF!</v>
      </c>
      <c r="AB59" s="32">
        <v>8.4269999992102385E-2</v>
      </c>
    </row>
    <row r="60" spans="1:28" ht="12.75" customHeight="1" x14ac:dyDescent="0.2">
      <c r="A60" s="9"/>
      <c r="E60" s="55" t="s">
        <v>74</v>
      </c>
      <c r="F60" s="55"/>
      <c r="G60" s="38"/>
      <c r="H60" s="63">
        <v>2670.913</v>
      </c>
      <c r="I60" s="64">
        <v>0</v>
      </c>
      <c r="J60" s="65">
        <v>0</v>
      </c>
      <c r="K60" s="66">
        <v>0</v>
      </c>
      <c r="L60" s="66">
        <v>0</v>
      </c>
      <c r="M60" s="66">
        <v>2670.9127999999996</v>
      </c>
      <c r="N60" s="66">
        <v>0</v>
      </c>
      <c r="O60" s="66">
        <v>0</v>
      </c>
      <c r="P60" s="66">
        <v>0</v>
      </c>
      <c r="Q60" s="66">
        <v>0</v>
      </c>
      <c r="R60" s="66">
        <v>0</v>
      </c>
      <c r="S60" s="66">
        <v>0</v>
      </c>
      <c r="T60" s="66">
        <v>0</v>
      </c>
      <c r="U60" s="67">
        <f t="shared" si="10"/>
        <v>2670.9127999999996</v>
      </c>
      <c r="V60" s="42"/>
      <c r="W60" s="43"/>
      <c r="X60" s="43"/>
      <c r="Y60" s="43"/>
      <c r="Z60" s="44">
        <f>H60-U60</f>
        <v>2.0000000040454324E-4</v>
      </c>
      <c r="AA60" s="1" t="e">
        <f>+#REF!-#REF!</f>
        <v>#REF!</v>
      </c>
      <c r="AB60" s="32">
        <v>0</v>
      </c>
    </row>
    <row r="61" spans="1:28" ht="12.75" customHeight="1" x14ac:dyDescent="0.2">
      <c r="A61" s="9"/>
      <c r="E61" s="55" t="s">
        <v>75</v>
      </c>
      <c r="F61" s="55"/>
      <c r="G61" s="38"/>
      <c r="H61" s="63">
        <v>1750000</v>
      </c>
      <c r="I61" s="64">
        <v>0</v>
      </c>
      <c r="J61" s="65">
        <v>0</v>
      </c>
      <c r="K61" s="66">
        <v>0</v>
      </c>
      <c r="L61" s="66">
        <v>0</v>
      </c>
      <c r="M61" s="66">
        <v>0</v>
      </c>
      <c r="N61" s="66">
        <v>0</v>
      </c>
      <c r="O61" s="66">
        <v>538036.03075000003</v>
      </c>
      <c r="P61" s="66">
        <v>44247.598060000004</v>
      </c>
      <c r="Q61" s="66">
        <v>43751.511460000002</v>
      </c>
      <c r="R61" s="66">
        <v>8230.962379999999</v>
      </c>
      <c r="S61" s="66"/>
      <c r="T61" s="66"/>
      <c r="U61" s="67">
        <f t="shared" si="10"/>
        <v>634266.10265000002</v>
      </c>
      <c r="V61" s="42"/>
      <c r="W61" s="43"/>
      <c r="X61" s="43"/>
      <c r="Y61" s="43"/>
      <c r="Z61" s="44"/>
      <c r="AA61" s="1" t="e">
        <f>+#REF!-#REF!</f>
        <v>#REF!</v>
      </c>
      <c r="AB61" s="32"/>
    </row>
    <row r="62" spans="1:28" ht="12.75" customHeight="1" x14ac:dyDescent="0.2">
      <c r="A62" s="9"/>
      <c r="C62" s="1" t="s">
        <v>31</v>
      </c>
      <c r="E62" s="55"/>
      <c r="F62" s="55"/>
      <c r="G62" s="38"/>
      <c r="H62" s="39"/>
      <c r="I62" s="38"/>
      <c r="J62" s="43"/>
      <c r="K62" s="41"/>
      <c r="L62" s="41"/>
      <c r="M62" s="41"/>
      <c r="N62" s="66"/>
      <c r="O62" s="41"/>
      <c r="P62" s="41"/>
      <c r="Q62" s="41"/>
      <c r="R62" s="41"/>
      <c r="S62" s="41"/>
      <c r="T62" s="41"/>
      <c r="U62" s="40"/>
      <c r="V62" s="42"/>
      <c r="W62" s="43"/>
      <c r="X62" s="43"/>
      <c r="Y62" s="43"/>
      <c r="Z62" s="44">
        <f>H62-U62</f>
        <v>0</v>
      </c>
      <c r="AA62" s="1" t="e">
        <f>+#REF!-#REF!</f>
        <v>#REF!</v>
      </c>
      <c r="AB62" s="32">
        <v>0</v>
      </c>
    </row>
    <row r="63" spans="1:28" ht="12.75" customHeight="1" x14ac:dyDescent="0.2">
      <c r="A63" s="9"/>
      <c r="E63" s="55" t="s">
        <v>76</v>
      </c>
      <c r="F63" s="55"/>
      <c r="G63" s="38"/>
      <c r="H63" s="39">
        <v>147754.72200000001</v>
      </c>
      <c r="I63" s="38">
        <v>0</v>
      </c>
      <c r="J63" s="43">
        <v>1568.3789400000001</v>
      </c>
      <c r="K63" s="41">
        <v>7.3316499999999998</v>
      </c>
      <c r="L63" s="41">
        <v>312.12212</v>
      </c>
      <c r="M63" s="41">
        <v>0</v>
      </c>
      <c r="N63" s="41">
        <v>64352.879580000001</v>
      </c>
      <c r="O63" s="41">
        <v>2633.4266499999999</v>
      </c>
      <c r="P63" s="41">
        <v>174529.88186000002</v>
      </c>
      <c r="Q63" s="41">
        <v>0</v>
      </c>
      <c r="R63" s="41">
        <v>1191.9651399999998</v>
      </c>
      <c r="S63" s="41">
        <v>0</v>
      </c>
      <c r="T63" s="41">
        <v>0</v>
      </c>
      <c r="U63" s="40">
        <f t="shared" si="10"/>
        <v>244595.98593999998</v>
      </c>
      <c r="V63" s="42"/>
      <c r="W63" s="43"/>
      <c r="X63" s="43"/>
      <c r="Y63" s="43"/>
      <c r="Z63" s="44">
        <f>H63-U63</f>
        <v>-96841.263939999975</v>
      </c>
      <c r="AA63" s="1" t="e">
        <f>+#REF!-#REF!</f>
        <v>#REF!</v>
      </c>
      <c r="AB63" s="32">
        <v>0</v>
      </c>
    </row>
    <row r="64" spans="1:28" s="32" customFormat="1" ht="12.75" customHeight="1" x14ac:dyDescent="0.2">
      <c r="A64" s="37"/>
      <c r="B64" s="10" t="s">
        <v>77</v>
      </c>
      <c r="C64" s="31"/>
      <c r="E64" s="45"/>
      <c r="F64" s="45"/>
      <c r="G64" s="46"/>
      <c r="H64" s="47">
        <f>SUM(H66:H71)</f>
        <v>40745561.084999986</v>
      </c>
      <c r="I64" s="47">
        <f>SUM(I66:I71)</f>
        <v>1871615.1225500002</v>
      </c>
      <c r="J64" s="48">
        <f t="shared" ref="J64:U64" si="11">SUM(J66:J71)</f>
        <v>2320662.0403300002</v>
      </c>
      <c r="K64" s="49">
        <f t="shared" si="11"/>
        <v>2271074.6917500002</v>
      </c>
      <c r="L64" s="49">
        <f t="shared" si="11"/>
        <v>4144629.2502699997</v>
      </c>
      <c r="M64" s="49">
        <f t="shared" si="11"/>
        <v>3545310.6683600005</v>
      </c>
      <c r="N64" s="49">
        <f t="shared" si="11"/>
        <v>4679104.9118300006</v>
      </c>
      <c r="O64" s="49">
        <f t="shared" si="11"/>
        <v>3673055.920810001</v>
      </c>
      <c r="P64" s="49">
        <f t="shared" si="11"/>
        <v>4599758.3712600004</v>
      </c>
      <c r="Q64" s="49">
        <f t="shared" si="11"/>
        <v>4782525.9269900005</v>
      </c>
      <c r="R64" s="49">
        <f t="shared" si="11"/>
        <v>4025182.71954</v>
      </c>
      <c r="S64" s="49">
        <f t="shared" si="11"/>
        <v>0</v>
      </c>
      <c r="T64" s="49">
        <f t="shared" si="11"/>
        <v>0</v>
      </c>
      <c r="U64" s="50">
        <f t="shared" si="11"/>
        <v>35912919.623690002</v>
      </c>
      <c r="V64" s="54"/>
      <c r="W64" s="48"/>
      <c r="X64" s="48"/>
      <c r="Y64" s="48"/>
      <c r="Z64" s="44"/>
      <c r="AA64" s="1" t="e">
        <f>+#REF!-#REF!</f>
        <v>#REF!</v>
      </c>
      <c r="AB64" s="32">
        <v>20.973050005733967</v>
      </c>
    </row>
    <row r="65" spans="1:28" s="32" customFormat="1" ht="12.75" customHeight="1" x14ac:dyDescent="0.2">
      <c r="A65" s="37"/>
      <c r="B65" s="10"/>
      <c r="C65" s="1" t="s">
        <v>78</v>
      </c>
      <c r="E65" s="45"/>
      <c r="F65" s="45"/>
      <c r="G65" s="46"/>
      <c r="H65" s="39"/>
      <c r="I65" s="38"/>
      <c r="J65" s="43"/>
      <c r="K65" s="41"/>
      <c r="L65" s="41"/>
      <c r="M65" s="41"/>
      <c r="N65" s="41"/>
      <c r="O65" s="41"/>
      <c r="P65" s="41"/>
      <c r="Q65" s="41"/>
      <c r="R65" s="41"/>
      <c r="S65" s="41"/>
      <c r="T65" s="41"/>
      <c r="U65" s="40"/>
      <c r="V65" s="42"/>
      <c r="W65" s="43"/>
      <c r="X65" s="43"/>
      <c r="Y65" s="43"/>
      <c r="Z65" s="44"/>
      <c r="AA65" s="1" t="e">
        <f>+#REF!-#REF!</f>
        <v>#REF!</v>
      </c>
      <c r="AB65" s="32">
        <v>0</v>
      </c>
    </row>
    <row r="66" spans="1:28" s="32" customFormat="1" ht="12.75" customHeight="1" x14ac:dyDescent="0.2">
      <c r="A66" s="37"/>
      <c r="B66" s="1"/>
      <c r="E66" s="1" t="s">
        <v>79</v>
      </c>
      <c r="F66" s="55"/>
      <c r="G66" s="46"/>
      <c r="H66" s="39">
        <v>36548320.099999994</v>
      </c>
      <c r="I66" s="38">
        <v>1665132.71854</v>
      </c>
      <c r="J66" s="43">
        <v>2420101.5696100001</v>
      </c>
      <c r="K66" s="41">
        <v>2202305.6750099999</v>
      </c>
      <c r="L66" s="41">
        <v>3153901.05595</v>
      </c>
      <c r="M66" s="41">
        <v>3224111.7025500005</v>
      </c>
      <c r="N66" s="41">
        <v>3669787.9673300004</v>
      </c>
      <c r="O66" s="41">
        <v>4250000.1231500003</v>
      </c>
      <c r="P66" s="41">
        <v>4055185.3876100001</v>
      </c>
      <c r="Q66" s="41">
        <v>3722149.1899300003</v>
      </c>
      <c r="R66" s="41">
        <v>3456626.2320900001</v>
      </c>
      <c r="S66" s="41">
        <v>0</v>
      </c>
      <c r="T66" s="41">
        <v>0</v>
      </c>
      <c r="U66" s="40">
        <f>SUM(I66:T66)</f>
        <v>31819301.621770002</v>
      </c>
      <c r="V66" s="42"/>
      <c r="W66" s="43"/>
      <c r="X66" s="43"/>
      <c r="Y66" s="43"/>
      <c r="Z66" s="44"/>
      <c r="AA66" s="1" t="e">
        <f>+#REF!-#REF!</f>
        <v>#REF!</v>
      </c>
      <c r="AB66" s="32">
        <v>20.904030002653599</v>
      </c>
    </row>
    <row r="67" spans="1:28" ht="12.75" customHeight="1" x14ac:dyDescent="0.2">
      <c r="A67" s="9"/>
      <c r="E67" s="1" t="s">
        <v>80</v>
      </c>
      <c r="F67" s="55"/>
      <c r="G67" s="60"/>
      <c r="H67" s="63">
        <v>3753835.96</v>
      </c>
      <c r="I67" s="64">
        <v>45206.048840000003</v>
      </c>
      <c r="J67" s="65">
        <v>17941.464689999997</v>
      </c>
      <c r="K67" s="66">
        <v>112788.36186000002</v>
      </c>
      <c r="L67" s="66">
        <v>389678.26277000003</v>
      </c>
      <c r="M67" s="66">
        <v>141351.30131000001</v>
      </c>
      <c r="N67" s="66">
        <v>670147.52271999989</v>
      </c>
      <c r="O67" s="66">
        <v>536426.24579000007</v>
      </c>
      <c r="P67" s="66">
        <v>532401.21225999994</v>
      </c>
      <c r="Q67" s="66">
        <v>829522.74057999998</v>
      </c>
      <c r="R67" s="66">
        <v>470248.47297</v>
      </c>
      <c r="S67" s="66">
        <v>0</v>
      </c>
      <c r="T67" s="66">
        <v>0</v>
      </c>
      <c r="U67" s="67">
        <f>SUM(I67:T67)</f>
        <v>3745711.6337899999</v>
      </c>
      <c r="V67" s="42"/>
      <c r="W67" s="43"/>
      <c r="X67" s="43"/>
      <c r="Y67" s="43"/>
      <c r="Z67" s="44"/>
      <c r="AA67" s="1" t="e">
        <f>+#REF!-#REF!</f>
        <v>#REF!</v>
      </c>
      <c r="AB67" s="32">
        <v>-0.45797999948263168</v>
      </c>
    </row>
    <row r="68" spans="1:28" ht="12.75" customHeight="1" x14ac:dyDescent="0.2">
      <c r="A68" s="9"/>
      <c r="C68" s="1" t="s">
        <v>81</v>
      </c>
      <c r="G68" s="60"/>
      <c r="H68" s="63">
        <v>49901.557000000001</v>
      </c>
      <c r="I68" s="64">
        <v>2732.1754100000003</v>
      </c>
      <c r="J68" s="65">
        <v>6056.9970000000003</v>
      </c>
      <c r="K68" s="66">
        <v>6432.1417799999999</v>
      </c>
      <c r="L68" s="66">
        <v>4135.5707599999996</v>
      </c>
      <c r="M68" s="66">
        <v>3161.2752500000001</v>
      </c>
      <c r="N68" s="66">
        <v>3012.1276000000003</v>
      </c>
      <c r="O68" s="66">
        <v>4845.3901299999998</v>
      </c>
      <c r="P68" s="66">
        <v>6470.9197800000002</v>
      </c>
      <c r="Q68" s="66">
        <v>7885.82276</v>
      </c>
      <c r="R68" s="66">
        <v>4737.9110899999996</v>
      </c>
      <c r="S68" s="66">
        <v>0</v>
      </c>
      <c r="T68" s="66">
        <v>0</v>
      </c>
      <c r="U68" s="67">
        <f>SUM(I68:T68)</f>
        <v>49470.331560000006</v>
      </c>
      <c r="V68" s="42"/>
      <c r="W68" s="43"/>
      <c r="X68" s="43"/>
      <c r="Y68" s="43"/>
      <c r="Z68" s="44"/>
      <c r="AA68" s="1" t="e">
        <f>+#REF!-#REF!</f>
        <v>#REF!</v>
      </c>
      <c r="AB68" s="32">
        <v>5.5469999992055818E-2</v>
      </c>
    </row>
    <row r="69" spans="1:28" s="32" customFormat="1" ht="12.75" customHeight="1" x14ac:dyDescent="0.2">
      <c r="A69" s="37"/>
      <c r="B69" s="1"/>
      <c r="C69" s="1" t="s">
        <v>31</v>
      </c>
      <c r="E69" s="1"/>
      <c r="F69" s="55"/>
      <c r="G69" s="46"/>
      <c r="H69" s="39"/>
      <c r="I69" s="38"/>
      <c r="J69" s="43"/>
      <c r="K69" s="41"/>
      <c r="L69" s="41"/>
      <c r="M69" s="41"/>
      <c r="N69" s="41"/>
      <c r="O69" s="41"/>
      <c r="P69" s="41"/>
      <c r="Q69" s="41"/>
      <c r="R69" s="41"/>
      <c r="S69" s="41"/>
      <c r="T69" s="41"/>
      <c r="U69" s="40"/>
      <c r="V69" s="42"/>
      <c r="W69" s="43"/>
      <c r="X69" s="43"/>
      <c r="Y69" s="43"/>
      <c r="Z69" s="44"/>
      <c r="AA69" s="1" t="e">
        <f>+#REF!-#REF!</f>
        <v>#REF!</v>
      </c>
      <c r="AB69" s="32">
        <v>0</v>
      </c>
    </row>
    <row r="70" spans="1:28" ht="12.75" customHeight="1" x14ac:dyDescent="0.2">
      <c r="A70" s="9"/>
      <c r="E70" s="1" t="s">
        <v>82</v>
      </c>
      <c r="G70" s="46"/>
      <c r="H70" s="39">
        <v>329474.89899999998</v>
      </c>
      <c r="I70" s="38">
        <v>154705.31579000002</v>
      </c>
      <c r="J70" s="43">
        <v>-123637.29246999999</v>
      </c>
      <c r="K70" s="41">
        <v>-50451.486900000004</v>
      </c>
      <c r="L70" s="41">
        <v>596914.36078999995</v>
      </c>
      <c r="M70" s="41">
        <v>176686.38924999998</v>
      </c>
      <c r="N70" s="41">
        <v>315157.10374999995</v>
      </c>
      <c r="O70" s="41">
        <v>-1119145.52021</v>
      </c>
      <c r="P70" s="41">
        <v>5700.8516099999997</v>
      </c>
      <c r="Q70" s="41">
        <v>222968.17371999999</v>
      </c>
      <c r="R70" s="41">
        <v>90975.57789</v>
      </c>
      <c r="S70" s="41">
        <v>0</v>
      </c>
      <c r="T70" s="41">
        <v>0</v>
      </c>
      <c r="U70" s="40">
        <f>SUM(I70:T70)</f>
        <v>269873.47321999987</v>
      </c>
      <c r="V70" s="42"/>
      <c r="W70" s="43"/>
      <c r="X70" s="43"/>
      <c r="Y70" s="43"/>
      <c r="Z70" s="44"/>
      <c r="AA70" s="1" t="e">
        <f>+#REF!-#REF!</f>
        <v>#REF!</v>
      </c>
      <c r="AB70" s="32">
        <v>0.17573999986052513</v>
      </c>
    </row>
    <row r="71" spans="1:28" ht="12.75" customHeight="1" x14ac:dyDescent="0.2">
      <c r="A71" s="9"/>
      <c r="E71" s="1" t="s">
        <v>83</v>
      </c>
      <c r="F71" s="55"/>
      <c r="G71" s="46"/>
      <c r="H71" s="63">
        <v>64028.569000000003</v>
      </c>
      <c r="I71" s="64">
        <v>3838.8639700000003</v>
      </c>
      <c r="J71" s="64">
        <v>199.3015</v>
      </c>
      <c r="K71" s="63">
        <v>0</v>
      </c>
      <c r="L71" s="63">
        <v>0</v>
      </c>
      <c r="M71" s="63">
        <v>0</v>
      </c>
      <c r="N71" s="63">
        <v>21000.190429999999</v>
      </c>
      <c r="O71" s="63">
        <v>929.68194999999992</v>
      </c>
      <c r="P71" s="63">
        <v>0</v>
      </c>
      <c r="Q71" s="63">
        <v>0</v>
      </c>
      <c r="R71" s="63">
        <v>2594.5255000000002</v>
      </c>
      <c r="S71" s="63">
        <v>0</v>
      </c>
      <c r="T71" s="63">
        <v>0</v>
      </c>
      <c r="U71" s="67">
        <f>SUM(I71:T71)</f>
        <v>28562.563349999997</v>
      </c>
      <c r="V71" s="42"/>
      <c r="W71" s="43"/>
      <c r="X71" s="43"/>
      <c r="Y71" s="43"/>
      <c r="Z71" s="44"/>
      <c r="AA71" s="1" t="e">
        <f>+#REF!-#REF!</f>
        <v>#REF!</v>
      </c>
      <c r="AB71" s="32">
        <v>0.29579000000376254</v>
      </c>
    </row>
    <row r="72" spans="1:28" s="32" customFormat="1" ht="12.75" customHeight="1" x14ac:dyDescent="0.2">
      <c r="A72" s="44"/>
      <c r="B72" s="10" t="s">
        <v>84</v>
      </c>
      <c r="G72" s="46"/>
      <c r="H72" s="47">
        <f>H73</f>
        <v>6.03</v>
      </c>
      <c r="I72" s="47">
        <f>I73</f>
        <v>0</v>
      </c>
      <c r="J72" s="47">
        <f t="shared" ref="J72:T72" si="12">J73</f>
        <v>5.6426999999999996</v>
      </c>
      <c r="K72" s="57">
        <f t="shared" si="12"/>
        <v>-5.6426999999999996</v>
      </c>
      <c r="L72" s="57">
        <f t="shared" si="12"/>
        <v>6</v>
      </c>
      <c r="M72" s="57">
        <f t="shared" si="12"/>
        <v>0</v>
      </c>
      <c r="N72" s="57">
        <f t="shared" si="12"/>
        <v>0</v>
      </c>
      <c r="O72" s="57">
        <f t="shared" si="12"/>
        <v>0</v>
      </c>
      <c r="P72" s="57">
        <f t="shared" si="12"/>
        <v>0</v>
      </c>
      <c r="Q72" s="57">
        <f t="shared" si="12"/>
        <v>0</v>
      </c>
      <c r="R72" s="57">
        <f t="shared" si="12"/>
        <v>0</v>
      </c>
      <c r="S72" s="57">
        <f t="shared" si="12"/>
        <v>0</v>
      </c>
      <c r="T72" s="57">
        <f t="shared" si="12"/>
        <v>0</v>
      </c>
      <c r="U72" s="50">
        <f>U73</f>
        <v>6</v>
      </c>
      <c r="V72" s="54"/>
      <c r="W72" s="48"/>
      <c r="X72" s="48"/>
      <c r="Y72" s="48"/>
      <c r="Z72" s="44"/>
      <c r="AA72" s="1" t="e">
        <f>+#REF!-#REF!</f>
        <v>#REF!</v>
      </c>
      <c r="AB72" s="32">
        <v>0</v>
      </c>
    </row>
    <row r="73" spans="1:28" ht="12.75" customHeight="1" x14ac:dyDescent="0.2">
      <c r="A73" s="9"/>
      <c r="C73" s="1" t="s">
        <v>85</v>
      </c>
      <c r="G73" s="46"/>
      <c r="H73" s="39">
        <v>6.03</v>
      </c>
      <c r="I73" s="38">
        <v>0</v>
      </c>
      <c r="J73" s="38">
        <v>5.6426999999999996</v>
      </c>
      <c r="K73" s="39">
        <v>-5.6426999999999996</v>
      </c>
      <c r="L73" s="39">
        <v>6</v>
      </c>
      <c r="M73" s="39">
        <v>0</v>
      </c>
      <c r="N73" s="63">
        <v>0</v>
      </c>
      <c r="O73" s="39">
        <v>0</v>
      </c>
      <c r="P73" s="39">
        <v>0</v>
      </c>
      <c r="Q73" s="39">
        <v>0</v>
      </c>
      <c r="R73" s="39">
        <v>0</v>
      </c>
      <c r="S73" s="39">
        <v>0</v>
      </c>
      <c r="T73" s="39">
        <v>0</v>
      </c>
      <c r="U73" s="40">
        <f>SUM(I73:T73)</f>
        <v>6</v>
      </c>
      <c r="V73" s="78"/>
      <c r="W73" s="43"/>
      <c r="X73" s="43"/>
      <c r="Y73" s="43"/>
      <c r="Z73" s="44"/>
      <c r="AA73" s="1" t="e">
        <f>+#REF!-#REF!</f>
        <v>#REF!</v>
      </c>
      <c r="AB73" s="32">
        <v>0</v>
      </c>
    </row>
    <row r="74" spans="1:28" s="10" customFormat="1" ht="12.75" customHeight="1" x14ac:dyDescent="0.2">
      <c r="A74" s="79"/>
      <c r="B74" s="10" t="s">
        <v>86</v>
      </c>
      <c r="G74" s="46" t="s">
        <v>87</v>
      </c>
      <c r="H74" s="80">
        <v>1614.9369999999999</v>
      </c>
      <c r="I74" s="81">
        <v>1589.6722299999999</v>
      </c>
      <c r="J74" s="81">
        <v>1710.54529</v>
      </c>
      <c r="K74" s="80">
        <v>-1543.4717700000001</v>
      </c>
      <c r="L74" s="80">
        <f>433.43953-1757+1751</f>
        <v>427.4395300000001</v>
      </c>
      <c r="M74" s="80">
        <v>-404.95042000000001</v>
      </c>
      <c r="N74" s="80">
        <f>-164.26857+1779-1779</f>
        <v>-164.26856999999995</v>
      </c>
      <c r="O74" s="80">
        <v>-1557.87327</v>
      </c>
      <c r="P74" s="80">
        <v>1522.07395</v>
      </c>
      <c r="Q74" s="80">
        <v>-23.449120000000001</v>
      </c>
      <c r="R74" s="80">
        <v>28.224740000000001</v>
      </c>
      <c r="S74" s="80">
        <v>0</v>
      </c>
      <c r="T74" s="80">
        <v>0</v>
      </c>
      <c r="U74" s="82">
        <f>SUM(I74:T74)</f>
        <v>1583.9425900000001</v>
      </c>
      <c r="V74" s="83"/>
      <c r="W74" s="48"/>
      <c r="X74" s="48"/>
      <c r="Y74" s="48"/>
      <c r="Z74" s="44"/>
      <c r="AA74" s="1" t="e">
        <f>+#REF!-#REF!</f>
        <v>#REF!</v>
      </c>
      <c r="AB74" s="32">
        <v>0.31281999999919208</v>
      </c>
    </row>
    <row r="75" spans="1:28" ht="12.75" customHeight="1" x14ac:dyDescent="0.2">
      <c r="A75" s="84"/>
      <c r="B75" s="85" t="s">
        <v>88</v>
      </c>
      <c r="C75" s="86"/>
      <c r="D75" s="86"/>
      <c r="E75" s="86"/>
      <c r="F75" s="86"/>
      <c r="G75" s="87"/>
      <c r="H75" s="57">
        <f>H6+H21+H23+H30+H64+H72+H74</f>
        <v>1112579186.6650002</v>
      </c>
      <c r="I75" s="47">
        <f>I6+I21+I23+I30+I64+I72+I74</f>
        <v>77111257.806960002</v>
      </c>
      <c r="J75" s="47">
        <f t="shared" ref="J75:U75" si="13">J6+J21+J23+J30+J64+J72+J74</f>
        <v>64924271.966630012</v>
      </c>
      <c r="K75" s="57">
        <f t="shared" si="13"/>
        <v>100222433.75144002</v>
      </c>
      <c r="L75" s="57">
        <f t="shared" si="13"/>
        <v>75750002.477039993</v>
      </c>
      <c r="M75" s="57">
        <f t="shared" si="13"/>
        <v>97558042.679889992</v>
      </c>
      <c r="N75" s="57">
        <f t="shared" si="13"/>
        <v>102987034.87321997</v>
      </c>
      <c r="O75" s="57">
        <f t="shared" si="13"/>
        <v>96085038.531149998</v>
      </c>
      <c r="P75" s="57">
        <f>P6+P21+P23+P30+P64+P72+P74</f>
        <v>97377290.473269999</v>
      </c>
      <c r="Q75" s="57">
        <f t="shared" si="13"/>
        <v>163683329.94948</v>
      </c>
      <c r="R75" s="57">
        <f t="shared" si="13"/>
        <v>101388475.52069998</v>
      </c>
      <c r="S75" s="57">
        <f t="shared" si="13"/>
        <v>0</v>
      </c>
      <c r="T75" s="57">
        <f t="shared" si="13"/>
        <v>0</v>
      </c>
      <c r="U75" s="50">
        <f t="shared" si="13"/>
        <v>977087178.02977991</v>
      </c>
      <c r="V75" s="83"/>
      <c r="W75" s="48"/>
      <c r="X75" s="48"/>
      <c r="Y75" s="48"/>
      <c r="Z75" s="44"/>
      <c r="AA75" s="1" t="e">
        <f>+#REF!-#REF!</f>
        <v>#REF!</v>
      </c>
      <c r="AB75" s="32">
        <v>19.140980005264282</v>
      </c>
    </row>
    <row r="76" spans="1:28" ht="12.75" customHeight="1" x14ac:dyDescent="0.2">
      <c r="A76" s="9"/>
      <c r="B76" s="10" t="s">
        <v>89</v>
      </c>
      <c r="E76" s="55"/>
      <c r="F76" s="55"/>
      <c r="G76" s="46" t="s">
        <v>90</v>
      </c>
      <c r="H76" s="88">
        <v>-63395241</v>
      </c>
      <c r="I76" s="22">
        <v>-15848810</v>
      </c>
      <c r="J76" s="22">
        <v>0</v>
      </c>
      <c r="K76" s="88">
        <v>0</v>
      </c>
      <c r="L76" s="88">
        <v>-15848810</v>
      </c>
      <c r="M76" s="88">
        <v>0</v>
      </c>
      <c r="N76" s="88">
        <v>0</v>
      </c>
      <c r="O76" s="88">
        <v>-15848810</v>
      </c>
      <c r="P76" s="88">
        <v>0</v>
      </c>
      <c r="Q76" s="88">
        <v>0</v>
      </c>
      <c r="R76" s="88">
        <v>-15848810</v>
      </c>
      <c r="S76" s="88">
        <v>0</v>
      </c>
      <c r="T76" s="88">
        <v>0</v>
      </c>
      <c r="U76" s="29">
        <f>SUM(I76:T76)</f>
        <v>-63395240</v>
      </c>
      <c r="V76" s="18"/>
      <c r="W76" s="19"/>
      <c r="X76" s="19"/>
      <c r="Y76" s="19"/>
      <c r="Z76" s="44"/>
      <c r="AA76" s="1" t="e">
        <f>+#REF!-#REF!</f>
        <v>#REF!</v>
      </c>
      <c r="AB76" s="32">
        <v>0</v>
      </c>
    </row>
    <row r="77" spans="1:28" ht="12.75" customHeight="1" x14ac:dyDescent="0.2">
      <c r="A77" s="90"/>
      <c r="B77" s="91" t="s">
        <v>91</v>
      </c>
      <c r="C77" s="92"/>
      <c r="D77" s="92"/>
      <c r="E77" s="93"/>
      <c r="F77" s="93"/>
      <c r="G77" s="94"/>
      <c r="H77" s="95">
        <f>H75+H76</f>
        <v>1049183945.6650002</v>
      </c>
      <c r="I77" s="96">
        <f>I75+I76</f>
        <v>61262447.806960002</v>
      </c>
      <c r="J77" s="96">
        <f t="shared" ref="J77:T77" si="14">J75+J76</f>
        <v>64924271.966630012</v>
      </c>
      <c r="K77" s="95">
        <f t="shared" si="14"/>
        <v>100222433.75144002</v>
      </c>
      <c r="L77" s="95">
        <f t="shared" si="14"/>
        <v>59901192.477039993</v>
      </c>
      <c r="M77" s="95">
        <f t="shared" si="14"/>
        <v>97558042.679889992</v>
      </c>
      <c r="N77" s="95">
        <f t="shared" si="14"/>
        <v>102987034.87321997</v>
      </c>
      <c r="O77" s="95">
        <f t="shared" si="14"/>
        <v>80236228.531149998</v>
      </c>
      <c r="P77" s="95">
        <f t="shared" si="14"/>
        <v>97377290.473269999</v>
      </c>
      <c r="Q77" s="95">
        <f t="shared" si="14"/>
        <v>163683329.94948</v>
      </c>
      <c r="R77" s="95">
        <f t="shared" si="14"/>
        <v>85539665.520699978</v>
      </c>
      <c r="S77" s="95">
        <f t="shared" si="14"/>
        <v>0</v>
      </c>
      <c r="T77" s="95">
        <f t="shared" si="14"/>
        <v>0</v>
      </c>
      <c r="U77" s="97">
        <f>U75+U76</f>
        <v>913691938.02977991</v>
      </c>
      <c r="V77" s="54"/>
      <c r="W77" s="48"/>
      <c r="X77" s="48"/>
      <c r="Y77" s="48"/>
      <c r="Z77" s="44"/>
      <c r="AA77" s="1" t="e">
        <f>+#REF!-#REF!</f>
        <v>#REF!</v>
      </c>
      <c r="AB77" s="32">
        <v>19.140980005264282</v>
      </c>
    </row>
    <row r="78" spans="1:28" ht="12.75" hidden="1" customHeight="1" x14ac:dyDescent="0.2">
      <c r="A78" s="9"/>
      <c r="B78" s="10"/>
      <c r="E78" s="55"/>
      <c r="F78" s="55"/>
      <c r="G78" s="46"/>
      <c r="H78" s="57"/>
      <c r="I78" s="47"/>
      <c r="J78" s="47"/>
      <c r="K78" s="57"/>
      <c r="L78" s="57"/>
      <c r="M78" s="57"/>
      <c r="N78" s="57"/>
      <c r="O78" s="57"/>
      <c r="P78" s="57"/>
      <c r="Q78" s="57"/>
      <c r="R78" s="57"/>
      <c r="S78" s="57"/>
      <c r="T78" s="57"/>
      <c r="U78" s="50"/>
      <c r="V78" s="54"/>
      <c r="W78" s="48"/>
      <c r="X78" s="48"/>
      <c r="Y78" s="48"/>
      <c r="Z78" s="44"/>
      <c r="AA78" s="1" t="e">
        <f>+#REF!-#REF!</f>
        <v>#REF!</v>
      </c>
      <c r="AB78" s="32">
        <v>0</v>
      </c>
    </row>
    <row r="79" spans="1:28" ht="12.75" hidden="1" customHeight="1" x14ac:dyDescent="0.2">
      <c r="A79" s="98"/>
      <c r="B79" s="3"/>
      <c r="C79" s="3"/>
      <c r="D79" s="3"/>
      <c r="E79" s="3"/>
      <c r="F79" s="3"/>
      <c r="G79" s="99"/>
      <c r="H79" s="64"/>
      <c r="I79" s="64"/>
      <c r="J79" s="65"/>
      <c r="K79" s="65"/>
      <c r="L79" s="65"/>
      <c r="M79" s="65"/>
      <c r="N79" s="65"/>
      <c r="O79" s="65"/>
      <c r="P79" s="65"/>
      <c r="Q79" s="65"/>
      <c r="R79" s="65"/>
      <c r="S79" s="65"/>
      <c r="T79" s="65"/>
      <c r="U79" s="100"/>
      <c r="V79" s="101"/>
      <c r="W79" s="65"/>
      <c r="X79" s="65"/>
      <c r="Y79" s="65"/>
      <c r="Z79" s="44"/>
      <c r="AA79" s="1" t="e">
        <f>+#REF!-#REF!</f>
        <v>#REF!</v>
      </c>
      <c r="AB79" s="32">
        <v>0</v>
      </c>
    </row>
    <row r="80" spans="1:28" ht="12.75" customHeight="1" x14ac:dyDescent="0.2">
      <c r="A80" s="9"/>
      <c r="B80" s="10" t="s">
        <v>92</v>
      </c>
      <c r="C80" s="10"/>
      <c r="E80" s="55"/>
      <c r="F80" s="55"/>
      <c r="G80" s="46"/>
      <c r="H80" s="17">
        <f>SUM(H81:H96)-H94</f>
        <v>48747782.666538663</v>
      </c>
      <c r="I80" s="13">
        <f>SUM(I81:I96)-I94</f>
        <v>1833292.57381</v>
      </c>
      <c r="J80" s="13">
        <f t="shared" ref="J80:T80" si="15">SUM(J81:J96)-J94</f>
        <v>3182174.0558000002</v>
      </c>
      <c r="K80" s="17">
        <f t="shared" si="15"/>
        <v>8331667.6252000006</v>
      </c>
      <c r="L80" s="17">
        <f t="shared" si="15"/>
        <v>2945120.4831299996</v>
      </c>
      <c r="M80" s="17">
        <f>SUM(M81:M96)-M94</f>
        <v>4297105.98661</v>
      </c>
      <c r="N80" s="17">
        <f>SUM(N81:N96)-N94</f>
        <v>2692220.3989499998</v>
      </c>
      <c r="O80" s="17">
        <f>SUM(O81:O96)-O94</f>
        <v>2994488.5847100001</v>
      </c>
      <c r="P80" s="17">
        <f>SUM(P81:P96)-P94</f>
        <v>1840904.30532</v>
      </c>
      <c r="Q80" s="17">
        <f>SUM(Q81:Q96)-Q94</f>
        <v>12687363.820019998</v>
      </c>
      <c r="R80" s="17">
        <f t="shared" si="15"/>
        <v>1936875.9399900001</v>
      </c>
      <c r="S80" s="17">
        <f t="shared" si="15"/>
        <v>0</v>
      </c>
      <c r="T80" s="17">
        <f t="shared" si="15"/>
        <v>0</v>
      </c>
      <c r="U80" s="14">
        <f>SUM(U81:U96)-U94</f>
        <v>42741213.773539998</v>
      </c>
      <c r="V80" s="18"/>
      <c r="W80" s="19"/>
      <c r="X80" s="19"/>
      <c r="Y80" s="19"/>
      <c r="Z80" s="44"/>
      <c r="AA80" s="1" t="e">
        <f>+#REF!-#REF!</f>
        <v>#REF!</v>
      </c>
      <c r="AB80" s="32">
        <v>3038734.6602100059</v>
      </c>
    </row>
    <row r="81" spans="1:42" ht="12.75" customHeight="1" x14ac:dyDescent="0.2">
      <c r="A81" s="9"/>
      <c r="C81" s="614" t="s">
        <v>93</v>
      </c>
      <c r="D81" s="614"/>
      <c r="E81" s="614"/>
      <c r="F81" s="614"/>
      <c r="G81" s="46"/>
      <c r="H81" s="39"/>
      <c r="I81" s="38"/>
      <c r="J81" s="38"/>
      <c r="K81" s="39"/>
      <c r="L81" s="39"/>
      <c r="M81" s="39"/>
      <c r="N81" s="39"/>
      <c r="O81" s="39"/>
      <c r="P81" s="39"/>
      <c r="Q81" s="39"/>
      <c r="R81" s="39"/>
      <c r="S81" s="39"/>
      <c r="T81" s="39"/>
      <c r="U81" s="40"/>
      <c r="V81" s="42"/>
      <c r="W81" s="43"/>
      <c r="X81" s="43"/>
      <c r="Y81" s="43"/>
      <c r="Z81" s="44"/>
      <c r="AA81" s="1" t="e">
        <f>+#REF!-#REF!</f>
        <v>#REF!</v>
      </c>
      <c r="AB81" s="32">
        <v>0</v>
      </c>
    </row>
    <row r="82" spans="1:42" ht="12.75" customHeight="1" x14ac:dyDescent="0.2">
      <c r="A82" s="9"/>
      <c r="E82" s="1" t="s">
        <v>94</v>
      </c>
      <c r="F82" s="55"/>
      <c r="G82" s="46"/>
      <c r="H82" s="39">
        <v>59302</v>
      </c>
      <c r="I82" s="60">
        <v>4157.72876</v>
      </c>
      <c r="J82" s="38">
        <f>4130.86299+21.1859999999997</f>
        <v>4152.0489899999993</v>
      </c>
      <c r="K82" s="38">
        <v>4395.3252899999989</v>
      </c>
      <c r="L82" s="38">
        <v>4188.9931699999997</v>
      </c>
      <c r="M82" s="38">
        <v>4202.1022400000002</v>
      </c>
      <c r="N82" s="38">
        <v>4417.0128500000001</v>
      </c>
      <c r="O82" s="103">
        <v>4270.09807</v>
      </c>
      <c r="P82" s="38">
        <v>4275.6802099999995</v>
      </c>
      <c r="Q82" s="38">
        <v>4336.9182999999994</v>
      </c>
      <c r="R82" s="38">
        <v>4580.9539000000004</v>
      </c>
      <c r="S82" s="38">
        <v>0</v>
      </c>
      <c r="T82" s="38">
        <v>0</v>
      </c>
      <c r="U82" s="104">
        <f t="shared" ref="U82:U88" si="16">SUM(I82:T82)</f>
        <v>42976.861779999992</v>
      </c>
      <c r="V82" s="42"/>
      <c r="W82" s="43"/>
      <c r="X82" s="43"/>
      <c r="Y82" s="43"/>
      <c r="Z82" s="44"/>
      <c r="AA82" s="1" t="e">
        <f>+#REF!-#REF!</f>
        <v>#REF!</v>
      </c>
      <c r="AB82" s="32">
        <v>6495.505250000002</v>
      </c>
    </row>
    <row r="83" spans="1:42" ht="12.75" customHeight="1" x14ac:dyDescent="0.2">
      <c r="A83" s="9"/>
      <c r="B83" s="10"/>
      <c r="E83" s="105" t="s">
        <v>95</v>
      </c>
      <c r="F83" s="55"/>
      <c r="G83" s="46"/>
      <c r="H83" s="39">
        <v>4900</v>
      </c>
      <c r="I83" s="38">
        <v>0</v>
      </c>
      <c r="J83" s="38">
        <v>0</v>
      </c>
      <c r="K83" s="38">
        <v>415</v>
      </c>
      <c r="L83" s="39">
        <v>107</v>
      </c>
      <c r="M83" s="39">
        <v>574</v>
      </c>
      <c r="N83" s="39">
        <v>57</v>
      </c>
      <c r="O83" s="106">
        <v>-5</v>
      </c>
      <c r="P83" s="39">
        <v>171</v>
      </c>
      <c r="Q83" s="39">
        <v>187.5</v>
      </c>
      <c r="R83" s="39">
        <v>146.5</v>
      </c>
      <c r="S83" s="39">
        <v>0</v>
      </c>
      <c r="T83" s="39">
        <v>0</v>
      </c>
      <c r="U83" s="40">
        <f t="shared" si="16"/>
        <v>1653</v>
      </c>
      <c r="V83" s="42"/>
      <c r="W83" s="43"/>
      <c r="X83" s="43"/>
      <c r="Y83" s="43"/>
      <c r="Z83" s="44"/>
      <c r="AA83" s="1" t="e">
        <f>+#REF!-#REF!</f>
        <v>#REF!</v>
      </c>
      <c r="AB83" s="32">
        <v>-1.375</v>
      </c>
    </row>
    <row r="84" spans="1:42" ht="12.75" customHeight="1" x14ac:dyDescent="0.2">
      <c r="A84" s="9"/>
      <c r="E84" s="1" t="s">
        <v>96</v>
      </c>
      <c r="G84" s="11"/>
      <c r="H84" s="39">
        <v>853542.00000000012</v>
      </c>
      <c r="I84" s="60">
        <v>5135.0639899999996</v>
      </c>
      <c r="J84" s="38">
        <v>16394.861830000002</v>
      </c>
      <c r="K84" s="38">
        <v>18251.204130000002</v>
      </c>
      <c r="L84" s="38">
        <v>13622.154170000002</v>
      </c>
      <c r="M84" s="38">
        <v>31909.072619999999</v>
      </c>
      <c r="N84" s="38">
        <v>43736.20551</v>
      </c>
      <c r="O84" s="103">
        <v>29862.057910000003</v>
      </c>
      <c r="P84" s="38">
        <v>29039.146559999986</v>
      </c>
      <c r="Q84" s="38">
        <v>29489.716899999999</v>
      </c>
      <c r="R84" s="38">
        <v>10190.048159999997</v>
      </c>
      <c r="S84" s="38">
        <v>0</v>
      </c>
      <c r="T84" s="38">
        <v>0</v>
      </c>
      <c r="U84" s="104">
        <f t="shared" si="16"/>
        <v>227629.53177999999</v>
      </c>
      <c r="V84" s="42"/>
      <c r="W84" s="43"/>
      <c r="X84" s="43"/>
      <c r="Y84" s="43"/>
      <c r="Z84" s="44"/>
      <c r="AA84" s="1" t="e">
        <f>+#REF!-#REF!</f>
        <v>#REF!</v>
      </c>
      <c r="AB84" s="32">
        <v>1105391.5692700001</v>
      </c>
    </row>
    <row r="85" spans="1:42" ht="12.75" customHeight="1" x14ac:dyDescent="0.2">
      <c r="A85" s="9"/>
      <c r="B85" s="10"/>
      <c r="E85" s="1" t="s">
        <v>97</v>
      </c>
      <c r="G85" s="11"/>
      <c r="H85" s="39">
        <v>904817.99999999977</v>
      </c>
      <c r="I85" s="60">
        <v>53854.645389999998</v>
      </c>
      <c r="J85" s="38">
        <f>60911.93396+50.1281600000148</f>
        <v>60962.062120000017</v>
      </c>
      <c r="K85" s="38">
        <v>73813.136580000049</v>
      </c>
      <c r="L85" s="38">
        <v>69584.14582000002</v>
      </c>
      <c r="M85" s="38">
        <v>97711.810700000002</v>
      </c>
      <c r="N85" s="38">
        <v>74635.367310000016</v>
      </c>
      <c r="O85" s="103">
        <v>76988.876439999993</v>
      </c>
      <c r="P85" s="38">
        <v>85562.79008999998</v>
      </c>
      <c r="Q85" s="38">
        <v>80740.062219999978</v>
      </c>
      <c r="R85" s="38">
        <v>46454.596799999999</v>
      </c>
      <c r="S85" s="38">
        <v>0</v>
      </c>
      <c r="T85" s="38">
        <v>0</v>
      </c>
      <c r="U85" s="104">
        <f t="shared" si="16"/>
        <v>720307.4934700001</v>
      </c>
      <c r="V85" s="42"/>
      <c r="W85" s="43"/>
      <c r="X85" s="43"/>
      <c r="Y85" s="43"/>
      <c r="Z85" s="44"/>
      <c r="AA85" s="1" t="e">
        <f>+#REF!-#REF!</f>
        <v>#REF!</v>
      </c>
      <c r="AB85" s="32">
        <v>-38344.857600000105</v>
      </c>
    </row>
    <row r="86" spans="1:42" ht="12.75" customHeight="1" x14ac:dyDescent="0.2">
      <c r="A86" s="9"/>
      <c r="E86" s="612" t="s">
        <v>98</v>
      </c>
      <c r="F86" s="612"/>
      <c r="G86" s="613"/>
      <c r="H86" s="39">
        <v>8887.0000000000018</v>
      </c>
      <c r="I86" s="60">
        <v>158.95270000000002</v>
      </c>
      <c r="J86" s="38">
        <v>317.98962000000006</v>
      </c>
      <c r="K86" s="38">
        <v>376.63499999999999</v>
      </c>
      <c r="L86" s="39">
        <v>613.54687000000001</v>
      </c>
      <c r="M86" s="38">
        <v>490.34724999999997</v>
      </c>
      <c r="N86" s="38">
        <v>305.85806999999994</v>
      </c>
      <c r="O86" s="103">
        <v>398.16741000000007</v>
      </c>
      <c r="P86" s="38">
        <v>314.22257000000002</v>
      </c>
      <c r="Q86" s="38">
        <v>1183.7870400000002</v>
      </c>
      <c r="R86" s="38">
        <v>1586.6431100000002</v>
      </c>
      <c r="S86" s="38">
        <v>0</v>
      </c>
      <c r="T86" s="38">
        <v>0</v>
      </c>
      <c r="U86" s="104">
        <f t="shared" si="16"/>
        <v>5746.1496400000005</v>
      </c>
      <c r="V86" s="42"/>
      <c r="W86" s="43"/>
      <c r="X86" s="43"/>
      <c r="Y86" s="43"/>
      <c r="Z86" s="44"/>
      <c r="AA86" s="1" t="e">
        <f>+#REF!-#REF!</f>
        <v>#REF!</v>
      </c>
      <c r="AB86" s="32">
        <v>199.14303000000291</v>
      </c>
    </row>
    <row r="87" spans="1:42" s="10" customFormat="1" ht="12.75" customHeight="1" x14ac:dyDescent="0.2">
      <c r="A87" s="79"/>
      <c r="C87" s="10" t="s">
        <v>99</v>
      </c>
      <c r="F87" s="59"/>
      <c r="G87" s="107"/>
      <c r="H87" s="57">
        <v>631301</v>
      </c>
      <c r="I87" s="108">
        <v>0</v>
      </c>
      <c r="J87" s="108">
        <v>43672.644369999995</v>
      </c>
      <c r="K87" s="108">
        <v>0</v>
      </c>
      <c r="L87" s="108">
        <v>73683.913189999992</v>
      </c>
      <c r="M87" s="108">
        <v>0</v>
      </c>
      <c r="N87" s="108">
        <v>0</v>
      </c>
      <c r="O87" s="109">
        <v>177084.45775999999</v>
      </c>
      <c r="P87" s="108">
        <v>0</v>
      </c>
      <c r="Q87" s="108">
        <v>0</v>
      </c>
      <c r="R87" s="108">
        <v>96854.026969999992</v>
      </c>
      <c r="S87" s="47">
        <v>0</v>
      </c>
      <c r="T87" s="47">
        <v>0</v>
      </c>
      <c r="U87" s="58">
        <f t="shared" si="16"/>
        <v>391295.04229000001</v>
      </c>
      <c r="V87" s="18"/>
      <c r="W87" s="19"/>
      <c r="X87" s="19"/>
      <c r="Y87" s="19"/>
      <c r="Z87" s="37"/>
      <c r="AA87" s="1" t="e">
        <f>+#REF!-#REF!</f>
        <v>#REF!</v>
      </c>
      <c r="AB87" s="31">
        <v>89534.033969999989</v>
      </c>
    </row>
    <row r="88" spans="1:42" s="10" customFormat="1" ht="12.75" customHeight="1" x14ac:dyDescent="0.2">
      <c r="A88" s="79"/>
      <c r="C88" s="10" t="s">
        <v>100</v>
      </c>
      <c r="G88" s="111"/>
      <c r="H88" s="53">
        <v>553106.99999999988</v>
      </c>
      <c r="I88" s="51">
        <v>3631.05654</v>
      </c>
      <c r="J88" s="51">
        <v>15649.83107</v>
      </c>
      <c r="K88" s="51">
        <v>11308.06079</v>
      </c>
      <c r="L88" s="51">
        <v>19243.870549999996</v>
      </c>
      <c r="M88" s="51">
        <v>45164.593119999998</v>
      </c>
      <c r="N88" s="51">
        <v>22755.888919999998</v>
      </c>
      <c r="O88" s="112">
        <v>46387.177580000003</v>
      </c>
      <c r="P88" s="51">
        <v>17859.362980000002</v>
      </c>
      <c r="Q88" s="51">
        <v>15677.597390000001</v>
      </c>
      <c r="R88" s="51">
        <v>8375.3149599999997</v>
      </c>
      <c r="S88" s="51">
        <v>0</v>
      </c>
      <c r="T88" s="51">
        <v>0</v>
      </c>
      <c r="U88" s="58">
        <f t="shared" si="16"/>
        <v>206052.75389999998</v>
      </c>
      <c r="V88" s="18"/>
      <c r="W88" s="19"/>
      <c r="X88" s="19"/>
      <c r="Y88" s="19"/>
      <c r="Z88" s="37"/>
      <c r="AA88" s="1" t="e">
        <f>+#REF!-#REF!</f>
        <v>#REF!</v>
      </c>
      <c r="AB88" s="31">
        <v>513621.87241999991</v>
      </c>
    </row>
    <row r="89" spans="1:42" s="10" customFormat="1" ht="12.75" customHeight="1" x14ac:dyDescent="0.2">
      <c r="A89" s="79"/>
      <c r="C89" s="10" t="s">
        <v>101</v>
      </c>
      <c r="E89" s="59"/>
      <c r="F89" s="59"/>
      <c r="G89" s="107"/>
      <c r="H89" s="57"/>
      <c r="I89" s="108"/>
      <c r="J89" s="47"/>
      <c r="K89" s="47"/>
      <c r="L89" s="47"/>
      <c r="M89" s="47"/>
      <c r="N89" s="47"/>
      <c r="O89" s="47"/>
      <c r="P89" s="47"/>
      <c r="Q89" s="47"/>
      <c r="R89" s="47"/>
      <c r="S89" s="47"/>
      <c r="T89" s="47"/>
      <c r="U89" s="104"/>
      <c r="V89" s="18"/>
      <c r="W89" s="19"/>
      <c r="X89" s="19"/>
      <c r="Y89" s="19"/>
      <c r="Z89" s="37"/>
      <c r="AA89" s="1" t="e">
        <f>+#REF!-#REF!</f>
        <v>#REF!</v>
      </c>
      <c r="AB89" s="31">
        <v>0</v>
      </c>
    </row>
    <row r="90" spans="1:42" ht="12.75" customHeight="1" x14ac:dyDescent="0.2">
      <c r="A90" s="9"/>
      <c r="E90" s="55" t="s">
        <v>102</v>
      </c>
      <c r="F90" s="55"/>
      <c r="G90" s="46"/>
      <c r="H90" s="63">
        <v>4818494</v>
      </c>
      <c r="I90" s="60">
        <v>482155.24502999999</v>
      </c>
      <c r="J90" s="60">
        <f>202472.47722+12.445689999964</f>
        <v>202484.92290999996</v>
      </c>
      <c r="K90" s="60">
        <v>199409.31185</v>
      </c>
      <c r="L90" s="60">
        <v>129830.99192</v>
      </c>
      <c r="M90" s="60">
        <v>317057.09378999996</v>
      </c>
      <c r="N90" s="60">
        <v>234314.62327000001</v>
      </c>
      <c r="O90" s="113">
        <v>2118.2010599999994</v>
      </c>
      <c r="P90" s="60">
        <v>713323.11497</v>
      </c>
      <c r="Q90" s="60">
        <v>543830.14695999993</v>
      </c>
      <c r="R90" s="60">
        <v>362697.36484000005</v>
      </c>
      <c r="S90" s="64">
        <v>0</v>
      </c>
      <c r="T90" s="64">
        <v>0</v>
      </c>
      <c r="U90" s="100">
        <f>SUM(I90:T90)</f>
        <v>3187221.0166000002</v>
      </c>
      <c r="V90" s="42"/>
      <c r="W90" s="43"/>
      <c r="X90" s="43"/>
      <c r="Y90" s="43"/>
      <c r="Z90" s="44"/>
      <c r="AA90" s="1" t="e">
        <f>+#REF!-#REF!</f>
        <v>#REF!</v>
      </c>
      <c r="AB90" s="32">
        <v>1650.9752800008282</v>
      </c>
    </row>
    <row r="91" spans="1:42" ht="12.75" customHeight="1" x14ac:dyDescent="0.2">
      <c r="A91" s="9"/>
      <c r="B91" s="10"/>
      <c r="E91" s="55" t="s">
        <v>103</v>
      </c>
      <c r="F91" s="55"/>
      <c r="G91" s="46"/>
      <c r="H91" s="39">
        <v>948546.99999999988</v>
      </c>
      <c r="I91" s="60">
        <v>0</v>
      </c>
      <c r="J91" s="60">
        <v>0</v>
      </c>
      <c r="K91" s="60">
        <v>0</v>
      </c>
      <c r="L91" s="60">
        <v>216757.96463999999</v>
      </c>
      <c r="M91" s="60">
        <v>0</v>
      </c>
      <c r="N91" s="60">
        <v>0</v>
      </c>
      <c r="O91" s="113">
        <v>0</v>
      </c>
      <c r="P91" s="60">
        <v>0</v>
      </c>
      <c r="Q91" s="60">
        <v>102356.41051999999</v>
      </c>
      <c r="R91" s="60">
        <v>0</v>
      </c>
      <c r="S91" s="38">
        <v>0</v>
      </c>
      <c r="T91" s="38">
        <v>0</v>
      </c>
      <c r="U91" s="104">
        <f>SUM(I91:T91)</f>
        <v>319114.37516</v>
      </c>
      <c r="V91" s="42"/>
      <c r="W91" s="43"/>
      <c r="X91" s="43"/>
      <c r="Y91" s="43"/>
      <c r="Z91" s="44"/>
      <c r="AA91" s="1" t="e">
        <f>+#REF!-#REF!</f>
        <v>#REF!</v>
      </c>
      <c r="AB91" s="32">
        <v>0.42619000002741814</v>
      </c>
    </row>
    <row r="92" spans="1:42" ht="12.6" customHeight="1" x14ac:dyDescent="0.2">
      <c r="A92" s="9"/>
      <c r="E92" s="55" t="s">
        <v>104</v>
      </c>
      <c r="F92" s="55"/>
      <c r="G92" s="46"/>
      <c r="H92" s="39">
        <v>9970361</v>
      </c>
      <c r="I92" s="60">
        <v>1215.8561399999999</v>
      </c>
      <c r="J92" s="60">
        <v>6536.7468999999501</v>
      </c>
      <c r="K92" s="60">
        <v>4667806.4456400005</v>
      </c>
      <c r="L92" s="60">
        <v>-1176720.2021300001</v>
      </c>
      <c r="M92" s="60">
        <v>349787.30255999998</v>
      </c>
      <c r="N92" s="60">
        <v>257470.79566999999</v>
      </c>
      <c r="O92" s="113">
        <v>80879.446850000008</v>
      </c>
      <c r="P92" s="60">
        <v>31856.73014</v>
      </c>
      <c r="Q92" s="60">
        <v>9145970.8990499992</v>
      </c>
      <c r="R92" s="60">
        <v>25594.85658</v>
      </c>
      <c r="S92" s="38">
        <v>0</v>
      </c>
      <c r="T92" s="38">
        <v>0</v>
      </c>
      <c r="U92" s="104">
        <f>SUM(I92:T92)</f>
        <v>13390398.8774</v>
      </c>
      <c r="V92" s="42"/>
      <c r="W92" s="43"/>
      <c r="X92" s="43"/>
      <c r="Y92" s="43"/>
      <c r="Z92" s="44"/>
      <c r="AA92" s="1" t="e">
        <f>+#REF!-#REF!</f>
        <v>#REF!</v>
      </c>
      <c r="AB92" s="32">
        <v>1846.8231500033289</v>
      </c>
    </row>
    <row r="93" spans="1:42" s="32" customFormat="1" ht="12.75" customHeight="1" x14ac:dyDescent="0.2">
      <c r="A93" s="44"/>
      <c r="E93" s="61" t="s">
        <v>105</v>
      </c>
      <c r="F93" s="61"/>
      <c r="G93" s="46"/>
      <c r="H93" s="69"/>
      <c r="I93" s="60"/>
      <c r="J93" s="60"/>
      <c r="K93" s="60"/>
      <c r="L93" s="60"/>
      <c r="M93" s="60"/>
      <c r="N93" s="60"/>
      <c r="O93" s="113"/>
      <c r="P93" s="60"/>
      <c r="Q93" s="60"/>
      <c r="R93" s="60"/>
      <c r="S93" s="11"/>
      <c r="T93" s="11"/>
      <c r="U93" s="114"/>
      <c r="V93" s="42"/>
      <c r="W93" s="43"/>
      <c r="X93" s="43"/>
      <c r="Y93" s="43"/>
      <c r="Z93" s="44"/>
      <c r="AA93" s="1" t="e">
        <f>+#REF!-#REF!</f>
        <v>#REF!</v>
      </c>
      <c r="AB93" s="32">
        <v>0</v>
      </c>
      <c r="AD93" s="115" t="s">
        <v>106</v>
      </c>
      <c r="AE93" s="115" t="s">
        <v>107</v>
      </c>
      <c r="AH93" s="1"/>
    </row>
    <row r="94" spans="1:42" s="32" customFormat="1" ht="12.75" customHeight="1" x14ac:dyDescent="0.2">
      <c r="A94" s="44"/>
      <c r="E94" s="116" t="s">
        <v>108</v>
      </c>
      <c r="F94" s="61"/>
      <c r="G94" s="46"/>
      <c r="H94" s="69">
        <v>9931915.0000000019</v>
      </c>
      <c r="I94" s="46">
        <v>380.17591999999996</v>
      </c>
      <c r="J94" s="46">
        <v>6086.8554899999872</v>
      </c>
      <c r="K94" s="46">
        <v>4667661.56489</v>
      </c>
      <c r="L94" s="46">
        <v>-1177127.9675199999</v>
      </c>
      <c r="M94" s="46">
        <v>349172.53522000002</v>
      </c>
      <c r="N94" s="46">
        <v>256221.06475999998</v>
      </c>
      <c r="O94" s="117">
        <v>78001.98659</v>
      </c>
      <c r="P94" s="46">
        <v>30483.555270000001</v>
      </c>
      <c r="Q94" s="46">
        <v>9144973.6955900006</v>
      </c>
      <c r="R94" s="46">
        <v>25125.251239999998</v>
      </c>
      <c r="S94" s="11">
        <v>0</v>
      </c>
      <c r="T94" s="11">
        <v>0</v>
      </c>
      <c r="U94" s="114">
        <f>SUM(I94:T94)</f>
        <v>13380978.71745</v>
      </c>
      <c r="V94" s="73"/>
      <c r="W94" s="72"/>
      <c r="X94" s="72"/>
      <c r="Y94" s="72"/>
      <c r="Z94" s="44"/>
      <c r="AA94" s="1" t="e">
        <f>+#REF!-#REF!</f>
        <v>#REF!</v>
      </c>
      <c r="AB94" s="32">
        <v>-413476.23652999662</v>
      </c>
      <c r="AD94" s="32" t="e">
        <f>+#REF!</f>
        <v>#REF!</v>
      </c>
      <c r="AE94" s="32" t="e">
        <f>+#REF!</f>
        <v>#REF!</v>
      </c>
      <c r="AF94" s="32" t="str">
        <f>+B75</f>
        <v>Total tax revenue (gross)</v>
      </c>
      <c r="AH94" s="1"/>
    </row>
    <row r="95" spans="1:42" s="10" customFormat="1" ht="12.75" customHeight="1" x14ac:dyDescent="0.2">
      <c r="A95" s="79"/>
      <c r="C95" s="10" t="s">
        <v>109</v>
      </c>
      <c r="E95" s="59"/>
      <c r="F95" s="59"/>
      <c r="G95" s="107"/>
      <c r="H95" s="53">
        <v>98312.999999999985</v>
      </c>
      <c r="I95" s="108">
        <v>2077.8758600000001</v>
      </c>
      <c r="J95" s="108">
        <v>46.144419999999997</v>
      </c>
      <c r="K95" s="108">
        <v>916.66796999999997</v>
      </c>
      <c r="L95" s="108">
        <v>23713.248240000001</v>
      </c>
      <c r="M95" s="108">
        <v>6222.0098100000005</v>
      </c>
      <c r="N95" s="108">
        <v>20620.294889999997</v>
      </c>
      <c r="O95" s="109">
        <v>9263.0954299999994</v>
      </c>
      <c r="P95" s="108">
        <v>5920.0318499999994</v>
      </c>
      <c r="Q95" s="108">
        <v>27392.769390000001</v>
      </c>
      <c r="R95" s="108">
        <v>92.042209999999997</v>
      </c>
      <c r="S95" s="108">
        <v>0</v>
      </c>
      <c r="T95" s="108">
        <v>0</v>
      </c>
      <c r="U95" s="118">
        <f>SUM(I95:T95)</f>
        <v>96264.180070000002</v>
      </c>
      <c r="V95" s="18"/>
      <c r="W95" s="19"/>
      <c r="X95" s="19"/>
      <c r="Y95" s="19"/>
      <c r="Z95" s="37"/>
      <c r="AA95" s="1" t="e">
        <f>+#REF!-#REF!</f>
        <v>#REF!</v>
      </c>
      <c r="AB95" s="31">
        <v>8721.9927100000059</v>
      </c>
      <c r="AD95" s="10" t="e">
        <f>+#REF!</f>
        <v>#REF!</v>
      </c>
      <c r="AE95" s="10" t="e">
        <f>+#REF!</f>
        <v>#REF!</v>
      </c>
      <c r="AF95" s="10" t="str">
        <f>+A131</f>
        <v>Revenue collected on behalf of the RAF</v>
      </c>
      <c r="AP95" s="60"/>
    </row>
    <row r="96" spans="1:42" s="10" customFormat="1" ht="12" customHeight="1" x14ac:dyDescent="0.2">
      <c r="A96" s="79"/>
      <c r="C96" s="10" t="s">
        <v>110</v>
      </c>
      <c r="G96" s="107"/>
      <c r="H96" s="51">
        <v>29896210.666538663</v>
      </c>
      <c r="I96" s="51">
        <f t="shared" ref="I96:N96" si="17">SUM(I97:I100)+I113</f>
        <v>1280906.1494</v>
      </c>
      <c r="J96" s="51">
        <f t="shared" si="17"/>
        <v>2831956.80357</v>
      </c>
      <c r="K96" s="53">
        <f t="shared" si="17"/>
        <v>3354975.8379500001</v>
      </c>
      <c r="L96" s="53">
        <f t="shared" si="17"/>
        <v>3570494.8566899998</v>
      </c>
      <c r="M96" s="53">
        <f t="shared" si="17"/>
        <v>3443987.6545199999</v>
      </c>
      <c r="N96" s="53">
        <f t="shared" si="17"/>
        <v>2033907.35246</v>
      </c>
      <c r="O96" s="119">
        <f>-14169.9938+O113</f>
        <v>2567242.0062000002</v>
      </c>
      <c r="P96" s="53">
        <f>52024.22595+P113</f>
        <v>952582.22594999999</v>
      </c>
      <c r="Q96" s="53">
        <f>37245.01225+Q113</f>
        <v>2736198.0122500001</v>
      </c>
      <c r="R96" s="53">
        <f>SUM(R97:R100)+R113</f>
        <v>1380303.59246</v>
      </c>
      <c r="S96" s="53">
        <f>SUM(S97:S100)+S113</f>
        <v>0</v>
      </c>
      <c r="T96" s="53">
        <f>SUM(T97:T100)+T113</f>
        <v>0</v>
      </c>
      <c r="U96" s="110">
        <f>SUM(I96:T96)</f>
        <v>24152554.491449997</v>
      </c>
      <c r="V96" s="18"/>
      <c r="W96" s="19"/>
      <c r="X96" s="19"/>
      <c r="Y96" s="19"/>
      <c r="Z96" s="37"/>
      <c r="AA96" s="1" t="e">
        <f>+#REF!-#REF!</f>
        <v>#REF!</v>
      </c>
      <c r="AB96" s="1">
        <v>1349618.5515399985</v>
      </c>
      <c r="AD96" s="10" t="e">
        <f>+#REF!</f>
        <v>#REF!</v>
      </c>
      <c r="AE96" s="10" t="e">
        <f>+#REF!</f>
        <v>#REF!</v>
      </c>
      <c r="AF96" s="10" t="str">
        <f>+A132</f>
        <v>Revenue collected on behalf of the UIF</v>
      </c>
    </row>
    <row r="97" spans="1:28" ht="12" hidden="1" customHeight="1" x14ac:dyDescent="0.2">
      <c r="A97" s="9"/>
      <c r="E97" s="1" t="s">
        <v>111</v>
      </c>
      <c r="G97" s="120"/>
      <c r="H97" s="39">
        <v>0</v>
      </c>
      <c r="I97" s="39">
        <v>0</v>
      </c>
      <c r="J97" s="39">
        <v>0</v>
      </c>
      <c r="K97" s="39">
        <v>0</v>
      </c>
      <c r="L97" s="39">
        <v>0</v>
      </c>
      <c r="M97" s="39">
        <v>0</v>
      </c>
      <c r="N97" s="39">
        <v>0</v>
      </c>
      <c r="O97" s="106">
        <v>0</v>
      </c>
      <c r="P97" s="39">
        <v>0</v>
      </c>
      <c r="Q97" s="39">
        <v>0</v>
      </c>
      <c r="R97" s="39">
        <v>0</v>
      </c>
      <c r="S97" s="39">
        <v>0</v>
      </c>
      <c r="T97" s="39">
        <v>0</v>
      </c>
      <c r="U97" s="40">
        <v>0</v>
      </c>
      <c r="V97" s="42"/>
      <c r="W97" s="43"/>
      <c r="X97" s="43"/>
      <c r="Y97" s="43"/>
      <c r="Z97" s="44"/>
      <c r="AA97" s="1" t="e">
        <f>+#REF!-#REF!</f>
        <v>#REF!</v>
      </c>
      <c r="AB97" s="32">
        <v>0</v>
      </c>
    </row>
    <row r="98" spans="1:28" ht="12.75" hidden="1" customHeight="1" x14ac:dyDescent="0.2">
      <c r="A98" s="9"/>
      <c r="E98" s="121" t="s">
        <v>112</v>
      </c>
      <c r="F98" s="122"/>
      <c r="G98" s="55"/>
      <c r="H98" s="123">
        <v>3841</v>
      </c>
      <c r="I98" s="39">
        <v>0</v>
      </c>
      <c r="J98" s="39">
        <v>0</v>
      </c>
      <c r="K98" s="39">
        <v>0</v>
      </c>
      <c r="L98" s="39">
        <v>0</v>
      </c>
      <c r="M98" s="39">
        <v>0</v>
      </c>
      <c r="N98" s="39">
        <v>0</v>
      </c>
      <c r="O98" s="106">
        <v>0</v>
      </c>
      <c r="P98" s="39">
        <v>1684.28188</v>
      </c>
      <c r="Q98" s="39">
        <v>0</v>
      </c>
      <c r="R98" s="39">
        <v>0</v>
      </c>
      <c r="S98" s="39">
        <v>0</v>
      </c>
      <c r="T98" s="39">
        <v>0</v>
      </c>
      <c r="U98" s="40">
        <v>0</v>
      </c>
      <c r="V98" s="42"/>
      <c r="W98" s="43"/>
      <c r="X98" s="43"/>
      <c r="Y98" s="43"/>
      <c r="Z98" s="44"/>
      <c r="AA98" s="1" t="e">
        <f>+#REF!-#REF!</f>
        <v>#REF!</v>
      </c>
      <c r="AB98" s="32">
        <v>0</v>
      </c>
    </row>
    <row r="99" spans="1:28" ht="12.75" hidden="1" customHeight="1" x14ac:dyDescent="0.2">
      <c r="A99" s="9"/>
      <c r="E99" s="55" t="s">
        <v>113</v>
      </c>
      <c r="F99" s="122"/>
      <c r="G99" s="55"/>
      <c r="H99" s="123">
        <v>283978</v>
      </c>
      <c r="I99" s="39">
        <v>18853.483210000002</v>
      </c>
      <c r="J99" s="39">
        <f>19033.77909+8.19596999999339</f>
        <v>19041.975059999993</v>
      </c>
      <c r="K99" s="39">
        <v>21892.433510000003</v>
      </c>
      <c r="L99" s="39">
        <v>14593.450540000005</v>
      </c>
      <c r="M99" s="39">
        <v>15284.014260000007</v>
      </c>
      <c r="N99" s="39">
        <v>28338.520590000004</v>
      </c>
      <c r="O99" s="106">
        <v>15376.661620000003</v>
      </c>
      <c r="P99" s="39">
        <v>30534.247729999999</v>
      </c>
      <c r="Q99" s="39">
        <v>22950.118330000001</v>
      </c>
      <c r="R99" s="39">
        <v>5686.7550499999998</v>
      </c>
      <c r="S99" s="39">
        <v>0</v>
      </c>
      <c r="T99" s="39">
        <v>0</v>
      </c>
      <c r="U99" s="40">
        <v>0</v>
      </c>
      <c r="V99" s="42"/>
      <c r="W99" s="43"/>
      <c r="X99" s="43"/>
      <c r="Y99" s="43"/>
      <c r="Z99" s="44"/>
      <c r="AA99" s="1" t="e">
        <f>+#REF!-#REF!</f>
        <v>#REF!</v>
      </c>
      <c r="AB99" s="32">
        <v>0</v>
      </c>
    </row>
    <row r="100" spans="1:28" ht="12.75" hidden="1" customHeight="1" x14ac:dyDescent="0.2">
      <c r="A100" s="9"/>
      <c r="E100" s="55" t="s">
        <v>114</v>
      </c>
      <c r="F100" s="122"/>
      <c r="G100" s="55"/>
      <c r="H100" s="123">
        <v>741138.66653866321</v>
      </c>
      <c r="I100" s="39">
        <f>SUM(I101:I111)</f>
        <v>25563.66619</v>
      </c>
      <c r="J100" s="39">
        <f>SUM(J101:J111)</f>
        <v>5774.8285100000012</v>
      </c>
      <c r="K100" s="39">
        <f>SUM(K101:K111)</f>
        <v>13129.404440000004</v>
      </c>
      <c r="L100" s="39">
        <f>SUM(L101:L111)</f>
        <v>5578.4061500000007</v>
      </c>
      <c r="M100" s="39">
        <v>267196.64026000001</v>
      </c>
      <c r="N100" s="39">
        <f>SUM(N101:N111)</f>
        <v>63991.831869999995</v>
      </c>
      <c r="O100" s="106">
        <v>-29546.655419999999</v>
      </c>
      <c r="P100" s="39">
        <v>19805.696339999999</v>
      </c>
      <c r="Q100" s="39">
        <v>14294.893919999999</v>
      </c>
      <c r="R100" s="39">
        <f>SUM(R101:R111)</f>
        <v>13896.837409999998</v>
      </c>
      <c r="S100" s="39">
        <v>0</v>
      </c>
      <c r="T100" s="39">
        <v>0</v>
      </c>
      <c r="U100" s="40">
        <v>0</v>
      </c>
      <c r="V100" s="42"/>
      <c r="W100" s="43"/>
      <c r="X100" s="43"/>
      <c r="Y100" s="43"/>
      <c r="Z100" s="44"/>
      <c r="AA100" s="1" t="e">
        <f>+#REF!-#REF!</f>
        <v>#REF!</v>
      </c>
      <c r="AB100" s="32">
        <v>0</v>
      </c>
    </row>
    <row r="101" spans="1:28" ht="12.75" hidden="1" customHeight="1" x14ac:dyDescent="0.2">
      <c r="A101" s="9"/>
      <c r="E101" s="122" t="s">
        <v>115</v>
      </c>
      <c r="F101" s="122"/>
      <c r="G101" s="55"/>
      <c r="H101" s="124"/>
      <c r="I101" s="39">
        <v>0</v>
      </c>
      <c r="J101" s="39">
        <v>0</v>
      </c>
      <c r="K101" s="39">
        <v>0</v>
      </c>
      <c r="L101" s="39">
        <v>0</v>
      </c>
      <c r="M101" s="39">
        <v>0</v>
      </c>
      <c r="N101" s="39">
        <v>0</v>
      </c>
      <c r="O101" s="106">
        <v>0</v>
      </c>
      <c r="P101" s="39">
        <v>0</v>
      </c>
      <c r="Q101" s="39">
        <v>0</v>
      </c>
      <c r="R101" s="39">
        <v>0</v>
      </c>
      <c r="S101" s="39">
        <v>0</v>
      </c>
      <c r="T101" s="39">
        <v>0</v>
      </c>
      <c r="U101" s="40">
        <v>0</v>
      </c>
      <c r="V101" s="42"/>
      <c r="W101" s="43"/>
      <c r="X101" s="43"/>
      <c r="Y101" s="43"/>
      <c r="Z101" s="44"/>
      <c r="AA101" s="1" t="e">
        <f>+#REF!-#REF!</f>
        <v>#REF!</v>
      </c>
      <c r="AB101" s="32">
        <v>0</v>
      </c>
    </row>
    <row r="102" spans="1:28" ht="12.75" hidden="1" customHeight="1" x14ac:dyDescent="0.2">
      <c r="A102" s="9"/>
      <c r="E102" s="122" t="s">
        <v>116</v>
      </c>
      <c r="F102" s="122"/>
      <c r="G102" s="55"/>
      <c r="H102" s="124"/>
      <c r="I102" s="39">
        <v>0</v>
      </c>
      <c r="J102" s="39">
        <v>0</v>
      </c>
      <c r="K102" s="39">
        <v>0</v>
      </c>
      <c r="L102" s="39">
        <v>0</v>
      </c>
      <c r="M102" s="39">
        <v>0</v>
      </c>
      <c r="N102" s="39">
        <v>302.06428999999997</v>
      </c>
      <c r="O102" s="106">
        <v>0</v>
      </c>
      <c r="P102" s="39">
        <v>381.37377000000004</v>
      </c>
      <c r="Q102" s="39">
        <v>2.9999999999999997E-5</v>
      </c>
      <c r="R102" s="39">
        <v>0</v>
      </c>
      <c r="S102" s="39">
        <v>0</v>
      </c>
      <c r="T102" s="39">
        <v>0</v>
      </c>
      <c r="U102" s="40">
        <v>0</v>
      </c>
      <c r="V102" s="42"/>
      <c r="W102" s="43"/>
      <c r="X102" s="43"/>
      <c r="Y102" s="43"/>
      <c r="Z102" s="44"/>
      <c r="AA102" s="1" t="e">
        <f>+#REF!-#REF!</f>
        <v>#REF!</v>
      </c>
      <c r="AB102" s="32">
        <v>0</v>
      </c>
    </row>
    <row r="103" spans="1:28" ht="12.75" hidden="1" customHeight="1" x14ac:dyDescent="0.2">
      <c r="A103" s="9"/>
      <c r="E103" s="122" t="s">
        <v>117</v>
      </c>
      <c r="F103" s="122"/>
      <c r="G103" s="55"/>
      <c r="H103" s="124"/>
      <c r="I103" s="39">
        <v>8.3993099999999998</v>
      </c>
      <c r="J103" s="39">
        <v>25.462820000000001</v>
      </c>
      <c r="K103" s="39">
        <v>12.84346</v>
      </c>
      <c r="L103" s="39">
        <v>21.300079999999998</v>
      </c>
      <c r="M103" s="39">
        <v>7.3093099999999991</v>
      </c>
      <c r="N103" s="39">
        <v>29.079369999999997</v>
      </c>
      <c r="O103" s="106">
        <v>66.143919999999994</v>
      </c>
      <c r="P103" s="39">
        <v>45.126700000000007</v>
      </c>
      <c r="Q103" s="39">
        <v>55.980720000000005</v>
      </c>
      <c r="R103" s="39">
        <v>28.646909999999998</v>
      </c>
      <c r="S103" s="39">
        <v>0</v>
      </c>
      <c r="T103" s="39">
        <v>0</v>
      </c>
      <c r="U103" s="40">
        <v>0</v>
      </c>
      <c r="V103" s="42"/>
      <c r="W103" s="43"/>
      <c r="X103" s="43"/>
      <c r="Y103" s="43"/>
      <c r="Z103" s="44"/>
      <c r="AA103" s="1" t="e">
        <f>+#REF!-#REF!</f>
        <v>#REF!</v>
      </c>
      <c r="AB103" s="32">
        <v>0</v>
      </c>
    </row>
    <row r="104" spans="1:28" ht="12.75" hidden="1" customHeight="1" x14ac:dyDescent="0.2">
      <c r="A104" s="9"/>
      <c r="E104" s="122" t="s">
        <v>118</v>
      </c>
      <c r="F104" s="122"/>
      <c r="G104" s="55"/>
      <c r="H104" s="124"/>
      <c r="I104" s="39">
        <v>0</v>
      </c>
      <c r="J104" s="39">
        <v>1.4</v>
      </c>
      <c r="K104" s="39">
        <v>0.6</v>
      </c>
      <c r="L104" s="39">
        <v>0</v>
      </c>
      <c r="M104" s="39">
        <v>0</v>
      </c>
      <c r="N104" s="39">
        <v>6.69</v>
      </c>
      <c r="O104" s="106">
        <v>3.9540000000000002</v>
      </c>
      <c r="P104" s="39">
        <v>1.5788200000000001</v>
      </c>
      <c r="Q104" s="39">
        <v>7.8070000000000004</v>
      </c>
      <c r="R104" s="39">
        <v>4.5510000000000002</v>
      </c>
      <c r="S104" s="39">
        <v>0</v>
      </c>
      <c r="T104" s="39">
        <v>0</v>
      </c>
      <c r="U104" s="40">
        <v>0</v>
      </c>
      <c r="V104" s="42"/>
      <c r="W104" s="43"/>
      <c r="X104" s="43"/>
      <c r="Y104" s="43"/>
      <c r="Z104" s="44"/>
      <c r="AA104" s="1" t="e">
        <f>+#REF!-#REF!</f>
        <v>#REF!</v>
      </c>
      <c r="AB104" s="32">
        <v>0</v>
      </c>
    </row>
    <row r="105" spans="1:28" ht="12.75" hidden="1" customHeight="1" x14ac:dyDescent="0.2">
      <c r="A105" s="9"/>
      <c r="E105" s="122" t="s">
        <v>119</v>
      </c>
      <c r="F105" s="122"/>
      <c r="G105" s="55"/>
      <c r="H105" s="124"/>
      <c r="I105" s="39">
        <v>0</v>
      </c>
      <c r="J105" s="39">
        <v>0</v>
      </c>
      <c r="K105" s="39">
        <v>0</v>
      </c>
      <c r="L105" s="39">
        <v>0</v>
      </c>
      <c r="M105" s="39">
        <v>0</v>
      </c>
      <c r="N105" s="39">
        <v>0</v>
      </c>
      <c r="O105" s="106">
        <v>0</v>
      </c>
      <c r="P105" s="39">
        <v>0</v>
      </c>
      <c r="Q105" s="39">
        <v>0</v>
      </c>
      <c r="R105" s="39">
        <v>0</v>
      </c>
      <c r="S105" s="39">
        <v>0</v>
      </c>
      <c r="T105" s="39">
        <v>0</v>
      </c>
      <c r="U105" s="40">
        <v>0</v>
      </c>
      <c r="V105" s="42"/>
      <c r="W105" s="43"/>
      <c r="X105" s="43"/>
      <c r="Y105" s="43"/>
      <c r="Z105" s="44"/>
      <c r="AA105" s="1" t="e">
        <f>+#REF!-#REF!</f>
        <v>#REF!</v>
      </c>
      <c r="AB105" s="32">
        <v>0</v>
      </c>
    </row>
    <row r="106" spans="1:28" ht="12.75" hidden="1" customHeight="1" x14ac:dyDescent="0.2">
      <c r="A106" s="9"/>
      <c r="E106" s="122" t="s">
        <v>120</v>
      </c>
      <c r="F106" s="122"/>
      <c r="G106" s="55"/>
      <c r="H106" s="124"/>
      <c r="I106" s="39">
        <v>0</v>
      </c>
      <c r="J106" s="39">
        <v>4.8891</v>
      </c>
      <c r="K106" s="39">
        <v>63.836120000000001</v>
      </c>
      <c r="L106" s="39">
        <v>760.40255000000002</v>
      </c>
      <c r="M106" s="39">
        <v>688.91276000000005</v>
      </c>
      <c r="N106" s="39">
        <v>77.621660000000006</v>
      </c>
      <c r="O106" s="106">
        <v>1381.0489299999999</v>
      </c>
      <c r="P106" s="39">
        <v>-16.588349999999998</v>
      </c>
      <c r="Q106" s="39">
        <v>-6.0867899999999997</v>
      </c>
      <c r="R106" s="39">
        <v>-683.21487000000002</v>
      </c>
      <c r="S106" s="39">
        <v>0</v>
      </c>
      <c r="T106" s="39">
        <v>0</v>
      </c>
      <c r="U106" s="40">
        <v>0</v>
      </c>
      <c r="V106" s="42"/>
      <c r="W106" s="43"/>
      <c r="X106" s="43"/>
      <c r="Y106" s="43"/>
      <c r="Z106" s="44"/>
      <c r="AA106" s="1" t="e">
        <f>+#REF!-#REF!</f>
        <v>#REF!</v>
      </c>
      <c r="AB106" s="32">
        <v>0</v>
      </c>
    </row>
    <row r="107" spans="1:28" ht="12.75" hidden="1" customHeight="1" x14ac:dyDescent="0.2">
      <c r="A107" s="9"/>
      <c r="E107" s="122" t="s">
        <v>121</v>
      </c>
      <c r="F107" s="122"/>
      <c r="G107" s="55"/>
      <c r="H107" s="124"/>
      <c r="I107" s="39">
        <v>0</v>
      </c>
      <c r="J107" s="39">
        <v>0</v>
      </c>
      <c r="K107" s="39">
        <v>0</v>
      </c>
      <c r="L107" s="39">
        <v>0</v>
      </c>
      <c r="M107" s="39">
        <v>0</v>
      </c>
      <c r="N107" s="39">
        <v>0</v>
      </c>
      <c r="O107" s="106">
        <v>0</v>
      </c>
      <c r="P107" s="39">
        <v>0</v>
      </c>
      <c r="Q107" s="39">
        <v>0</v>
      </c>
      <c r="R107" s="39">
        <v>0</v>
      </c>
      <c r="S107" s="39">
        <v>0</v>
      </c>
      <c r="T107" s="39">
        <v>0</v>
      </c>
      <c r="U107" s="40">
        <v>0</v>
      </c>
      <c r="V107" s="42"/>
      <c r="W107" s="43"/>
      <c r="X107" s="43"/>
      <c r="Y107" s="43"/>
      <c r="Z107" s="44"/>
      <c r="AA107" s="1" t="e">
        <f>+#REF!-#REF!</f>
        <v>#REF!</v>
      </c>
      <c r="AB107" s="32">
        <v>0</v>
      </c>
    </row>
    <row r="108" spans="1:28" ht="12.75" hidden="1" customHeight="1" x14ac:dyDescent="0.2">
      <c r="A108" s="9"/>
      <c r="E108" s="122" t="s">
        <v>122</v>
      </c>
      <c r="F108" s="122"/>
      <c r="G108" s="55"/>
      <c r="H108" s="124"/>
      <c r="I108" s="39">
        <v>21418.386079999997</v>
      </c>
      <c r="J108" s="39">
        <f>5294.84706+15.4534200000016</f>
        <v>5310.3004800000017</v>
      </c>
      <c r="K108" s="39">
        <v>12173.734470000003</v>
      </c>
      <c r="L108" s="39">
        <v>3936.64057</v>
      </c>
      <c r="M108" s="39">
        <v>257341.98372000002</v>
      </c>
      <c r="N108" s="39">
        <v>8837.938009999998</v>
      </c>
      <c r="O108" s="106">
        <v>12444.158860000001</v>
      </c>
      <c r="P108" s="39">
        <v>20865.484629999999</v>
      </c>
      <c r="Q108" s="39">
        <v>6704.1685099999995</v>
      </c>
      <c r="R108" s="39">
        <v>11040.651859999998</v>
      </c>
      <c r="S108" s="39">
        <v>0</v>
      </c>
      <c r="T108" s="39">
        <v>0</v>
      </c>
      <c r="U108" s="40">
        <v>0</v>
      </c>
      <c r="V108" s="42"/>
      <c r="W108" s="43"/>
      <c r="X108" s="43"/>
      <c r="Y108" s="43"/>
      <c r="Z108" s="44"/>
      <c r="AA108" s="1" t="e">
        <f>+#REF!-#REF!</f>
        <v>#REF!</v>
      </c>
      <c r="AB108" s="32">
        <v>0</v>
      </c>
    </row>
    <row r="109" spans="1:28" ht="12.75" hidden="1" customHeight="1" x14ac:dyDescent="0.2">
      <c r="A109" s="9"/>
      <c r="E109" s="122" t="s">
        <v>123</v>
      </c>
      <c r="F109" s="122"/>
      <c r="G109" s="55"/>
      <c r="H109" s="124"/>
      <c r="I109" s="39">
        <v>7.5509300000000001</v>
      </c>
      <c r="J109" s="39">
        <v>45.905910000000006</v>
      </c>
      <c r="K109" s="39">
        <v>-31.74268</v>
      </c>
      <c r="L109" s="39">
        <v>50.914449999999995</v>
      </c>
      <c r="M109" s="39">
        <v>8001.6513800000002</v>
      </c>
      <c r="N109" s="39">
        <v>87.799630000000008</v>
      </c>
      <c r="O109" s="106">
        <v>7757.2055399999999</v>
      </c>
      <c r="P109" s="39">
        <v>66.167930000000027</v>
      </c>
      <c r="Q109" s="39">
        <v>-28.74682</v>
      </c>
      <c r="R109" s="39">
        <v>715.74270000000001</v>
      </c>
      <c r="S109" s="39">
        <v>0</v>
      </c>
      <c r="T109" s="39">
        <v>0</v>
      </c>
      <c r="U109" s="40">
        <v>0</v>
      </c>
      <c r="V109" s="42"/>
      <c r="W109" s="43"/>
      <c r="X109" s="43"/>
      <c r="Y109" s="43"/>
      <c r="Z109" s="44"/>
      <c r="AA109" s="1" t="e">
        <f>+#REF!-#REF!</f>
        <v>#REF!</v>
      </c>
      <c r="AB109" s="32">
        <v>0</v>
      </c>
    </row>
    <row r="110" spans="1:28" ht="12.75" hidden="1" customHeight="1" x14ac:dyDescent="0.2">
      <c r="A110" s="9"/>
      <c r="E110" s="122" t="s">
        <v>124</v>
      </c>
      <c r="F110" s="122"/>
      <c r="G110" s="55"/>
      <c r="H110" s="124"/>
      <c r="I110" s="39">
        <v>4129.2898700000005</v>
      </c>
      <c r="J110" s="39">
        <f>340.8452+46</f>
        <v>386.84519999999998</v>
      </c>
      <c r="K110" s="39">
        <v>910.13306999999986</v>
      </c>
      <c r="L110" s="39">
        <v>809.14850000000001</v>
      </c>
      <c r="M110" s="39">
        <v>1156.7830900000001</v>
      </c>
      <c r="N110" s="39">
        <v>54650.248909999995</v>
      </c>
      <c r="O110" s="106">
        <v>-51199.166669999999</v>
      </c>
      <c r="P110" s="39">
        <v>-1537.4471600000002</v>
      </c>
      <c r="Q110" s="39">
        <v>7561.7412699999986</v>
      </c>
      <c r="R110" s="39">
        <v>2790.4598099999998</v>
      </c>
      <c r="S110" s="39">
        <v>0</v>
      </c>
      <c r="T110" s="39">
        <v>0</v>
      </c>
      <c r="U110" s="40">
        <v>0</v>
      </c>
      <c r="V110" s="42"/>
      <c r="W110" s="43"/>
      <c r="X110" s="43"/>
      <c r="Y110" s="43"/>
      <c r="Z110" s="44"/>
      <c r="AA110" s="1" t="e">
        <f>+#REF!-#REF!</f>
        <v>#REF!</v>
      </c>
      <c r="AB110" s="32">
        <v>0</v>
      </c>
    </row>
    <row r="111" spans="1:28" ht="12.75" hidden="1" customHeight="1" x14ac:dyDescent="0.2">
      <c r="A111" s="9"/>
      <c r="E111" s="122" t="s">
        <v>125</v>
      </c>
      <c r="F111" s="122"/>
      <c r="G111" s="55"/>
      <c r="H111" s="124"/>
      <c r="I111" s="38">
        <v>0.04</v>
      </c>
      <c r="J111" s="38">
        <v>2.5000000000000001E-2</v>
      </c>
      <c r="K111" s="39">
        <v>0</v>
      </c>
      <c r="L111" s="125">
        <v>0</v>
      </c>
      <c r="M111" s="39">
        <v>0</v>
      </c>
      <c r="N111" s="39">
        <v>0.39</v>
      </c>
      <c r="O111" s="106">
        <v>0</v>
      </c>
      <c r="P111" s="39">
        <v>0</v>
      </c>
      <c r="Q111" s="39">
        <v>0.03</v>
      </c>
      <c r="R111" s="39">
        <v>0</v>
      </c>
      <c r="S111" s="39">
        <v>0</v>
      </c>
      <c r="T111" s="39">
        <v>0</v>
      </c>
      <c r="U111" s="40">
        <v>0</v>
      </c>
      <c r="V111" s="42"/>
      <c r="W111" s="43"/>
      <c r="X111" s="43"/>
      <c r="Y111" s="43"/>
      <c r="Z111" s="44"/>
      <c r="AA111" s="1" t="e">
        <f>+#REF!-#REF!</f>
        <v>#REF!</v>
      </c>
      <c r="AB111" s="32">
        <v>-0.2581</v>
      </c>
    </row>
    <row r="112" spans="1:28" ht="12.75" customHeight="1" x14ac:dyDescent="0.2">
      <c r="A112" s="9"/>
      <c r="D112" s="61"/>
      <c r="E112" s="68" t="s">
        <v>63</v>
      </c>
      <c r="F112" s="55"/>
      <c r="G112" s="55"/>
      <c r="H112" s="39"/>
      <c r="I112" s="38"/>
      <c r="J112" s="38"/>
      <c r="K112" s="39"/>
      <c r="L112" s="39"/>
      <c r="M112" s="39"/>
      <c r="N112" s="39"/>
      <c r="O112" s="39"/>
      <c r="P112" s="39"/>
      <c r="Q112" s="39"/>
      <c r="R112" s="39"/>
      <c r="S112" s="39"/>
      <c r="T112" s="39"/>
      <c r="U112" s="40"/>
      <c r="V112" s="42"/>
      <c r="W112" s="43"/>
      <c r="X112" s="43"/>
      <c r="Y112" s="43"/>
      <c r="Z112" s="44"/>
      <c r="AB112" s="32">
        <v>0</v>
      </c>
    </row>
    <row r="113" spans="1:38" s="32" customFormat="1" ht="12.75" customHeight="1" x14ac:dyDescent="0.2">
      <c r="A113" s="44"/>
      <c r="C113" s="126"/>
      <c r="E113" s="116" t="s">
        <v>126</v>
      </c>
      <c r="F113" s="61"/>
      <c r="G113" s="120" t="s">
        <v>127</v>
      </c>
      <c r="H113" s="127">
        <v>23829037</v>
      </c>
      <c r="I113" s="128">
        <f>+[35]original!$G$6</f>
        <v>1236489</v>
      </c>
      <c r="J113" s="128">
        <f>+[36]original!$H$6</f>
        <v>2807140</v>
      </c>
      <c r="K113" s="128">
        <f>+[37]original!$I$6</f>
        <v>3319954</v>
      </c>
      <c r="L113" s="128">
        <f>+[38]original!$J$6</f>
        <v>3550323</v>
      </c>
      <c r="M113" s="128">
        <f>+[39]original!$K$6</f>
        <v>3161507</v>
      </c>
      <c r="N113" s="128">
        <f>+[40]original!$L$6</f>
        <v>1941577</v>
      </c>
      <c r="O113" s="128">
        <f>+[41]original!$M$6</f>
        <v>2581412</v>
      </c>
      <c r="P113" s="128">
        <f>+[42]original!$N$6</f>
        <v>900558</v>
      </c>
      <c r="Q113" s="128">
        <f>+[43]original!$O$6</f>
        <v>2698953</v>
      </c>
      <c r="R113" s="128">
        <f>+[44]original!$P$6</f>
        <v>1360720</v>
      </c>
      <c r="S113" s="128">
        <v>0</v>
      </c>
      <c r="T113" s="128">
        <v>0</v>
      </c>
      <c r="U113" s="129">
        <f>SUM(I113:T113)</f>
        <v>23558633</v>
      </c>
      <c r="V113" s="73"/>
      <c r="W113" s="72"/>
      <c r="X113" s="72"/>
      <c r="Y113" s="72"/>
      <c r="Z113" s="44"/>
      <c r="AA113" s="1" t="e">
        <f>+#REF!-#REF!</f>
        <v>#REF!</v>
      </c>
      <c r="AB113" s="32">
        <v>0</v>
      </c>
      <c r="AD113" s="32" t="e">
        <f>+#REF!</f>
        <v>#REF!</v>
      </c>
      <c r="AE113" s="32" t="e">
        <f>+#REF!</f>
        <v>#REF!</v>
      </c>
      <c r="AF113" s="1" t="str">
        <f>+A130</f>
        <v>Revenue collected on behalf of the Provincial Authorities</v>
      </c>
      <c r="AH113" s="1"/>
    </row>
    <row r="114" spans="1:38" ht="12.75" customHeight="1" x14ac:dyDescent="0.2">
      <c r="A114" s="130" t="s">
        <v>128</v>
      </c>
      <c r="B114" s="91"/>
      <c r="C114" s="91"/>
      <c r="D114" s="91"/>
      <c r="E114" s="91"/>
      <c r="F114" s="91"/>
      <c r="G114" s="94"/>
      <c r="H114" s="131">
        <f>H80+H77</f>
        <v>1097931728.3315389</v>
      </c>
      <c r="I114" s="131">
        <f>I80+I77</f>
        <v>63095740.380769998</v>
      </c>
      <c r="J114" s="131">
        <f t="shared" ref="J114:T114" si="18">J80+J77</f>
        <v>68106446.022430018</v>
      </c>
      <c r="K114" s="131">
        <f t="shared" si="18"/>
        <v>108554101.37664002</v>
      </c>
      <c r="L114" s="131">
        <f t="shared" si="18"/>
        <v>62846312.960169993</v>
      </c>
      <c r="M114" s="131">
        <f t="shared" si="18"/>
        <v>101855148.66649999</v>
      </c>
      <c r="N114" s="131">
        <f t="shared" si="18"/>
        <v>105679255.27216996</v>
      </c>
      <c r="O114" s="131">
        <f t="shared" si="18"/>
        <v>83230717.11586</v>
      </c>
      <c r="P114" s="131">
        <f t="shared" si="18"/>
        <v>99218194.778589994</v>
      </c>
      <c r="Q114" s="131">
        <f t="shared" si="18"/>
        <v>176370693.76949999</v>
      </c>
      <c r="R114" s="131">
        <f t="shared" si="18"/>
        <v>87476541.460689977</v>
      </c>
      <c r="S114" s="131">
        <f t="shared" si="18"/>
        <v>0</v>
      </c>
      <c r="T114" s="131">
        <f t="shared" si="18"/>
        <v>0</v>
      </c>
      <c r="U114" s="132">
        <f>U80+U77-1</f>
        <v>956433150.80331993</v>
      </c>
      <c r="V114" s="79"/>
      <c r="W114" s="10"/>
      <c r="X114" s="10"/>
      <c r="Y114" s="10"/>
      <c r="Z114" s="44"/>
      <c r="AA114" s="1" t="e">
        <f>+#REF!-#REF!</f>
        <v>#REF!</v>
      </c>
      <c r="AB114" s="32">
        <v>3038753.8011901379</v>
      </c>
      <c r="AD114" s="1" t="e">
        <f>+#REF!</f>
        <v>#REF!</v>
      </c>
      <c r="AE114" s="1" t="e">
        <f>+#REF!</f>
        <v>#REF!</v>
      </c>
      <c r="AF114" s="1" t="str">
        <f>+E94</f>
        <v xml:space="preserve"> Mineral and petroleum royalties</v>
      </c>
    </row>
    <row r="115" spans="1:38" ht="12.75" customHeight="1" x14ac:dyDescent="0.2">
      <c r="A115" s="600" t="s">
        <v>129</v>
      </c>
      <c r="B115" s="601"/>
      <c r="C115" s="601"/>
      <c r="D115" s="601"/>
      <c r="E115" s="601"/>
      <c r="F115" s="601"/>
      <c r="G115" s="601"/>
      <c r="H115" s="131"/>
      <c r="I115" s="131"/>
      <c r="J115" s="131"/>
      <c r="K115" s="131"/>
      <c r="L115" s="131"/>
      <c r="M115" s="131"/>
      <c r="N115" s="131"/>
      <c r="O115" s="131"/>
      <c r="P115" s="131"/>
      <c r="Q115" s="131"/>
      <c r="R115" s="131"/>
      <c r="S115" s="131"/>
      <c r="T115" s="131"/>
      <c r="U115" s="132"/>
      <c r="V115" s="79"/>
      <c r="W115" s="10"/>
      <c r="X115" s="10"/>
      <c r="Y115" s="10"/>
      <c r="Z115" s="44"/>
      <c r="AA115" s="1" t="e">
        <f>+#REF!-#REF!</f>
        <v>#REF!</v>
      </c>
      <c r="AB115" s="32">
        <v>0</v>
      </c>
      <c r="AD115" s="31" t="e">
        <f>SUM(AD94:AD114)</f>
        <v>#REF!</v>
      </c>
      <c r="AE115" s="10" t="e">
        <f>SUM(AE94:AE114)</f>
        <v>#REF!</v>
      </c>
      <c r="AF115" s="1" t="s">
        <v>130</v>
      </c>
    </row>
    <row r="116" spans="1:38" ht="12" customHeight="1" x14ac:dyDescent="0.2">
      <c r="A116" s="133" t="s">
        <v>128</v>
      </c>
      <c r="B116" s="134"/>
      <c r="C116" s="135"/>
      <c r="D116" s="5"/>
      <c r="E116" s="5"/>
      <c r="F116" s="5"/>
      <c r="G116" s="5"/>
      <c r="H116" s="136">
        <f>+H114</f>
        <v>1097931728.3315389</v>
      </c>
      <c r="I116" s="137">
        <f>+I114</f>
        <v>63095740.380769998</v>
      </c>
      <c r="J116" s="137">
        <f t="shared" ref="J116:T116" si="19">+J114</f>
        <v>68106446.022430018</v>
      </c>
      <c r="K116" s="137">
        <f t="shared" si="19"/>
        <v>108554101.37664002</v>
      </c>
      <c r="L116" s="137">
        <f t="shared" si="19"/>
        <v>62846312.960169993</v>
      </c>
      <c r="M116" s="136">
        <f t="shared" si="19"/>
        <v>101855148.66649999</v>
      </c>
      <c r="N116" s="137">
        <f t="shared" si="19"/>
        <v>105679255.27216996</v>
      </c>
      <c r="O116" s="137">
        <f t="shared" si="19"/>
        <v>83230717.11586</v>
      </c>
      <c r="P116" s="137">
        <f t="shared" si="19"/>
        <v>99218194.778589994</v>
      </c>
      <c r="Q116" s="137">
        <f t="shared" si="19"/>
        <v>176370693.76949999</v>
      </c>
      <c r="R116" s="137">
        <f t="shared" si="19"/>
        <v>87476541.460689977</v>
      </c>
      <c r="S116" s="137">
        <f t="shared" si="19"/>
        <v>0</v>
      </c>
      <c r="T116" s="137">
        <f t="shared" si="19"/>
        <v>0</v>
      </c>
      <c r="U116" s="138">
        <f>+U114</f>
        <v>956433150.80331993</v>
      </c>
      <c r="V116" s="140"/>
      <c r="W116" s="141"/>
      <c r="X116" s="141"/>
      <c r="Y116" s="141"/>
      <c r="Z116" s="44"/>
      <c r="AA116" s="1" t="e">
        <f>+#REF!-#REF!</f>
        <v>#REF!</v>
      </c>
      <c r="AB116" s="32">
        <v>3038753.8011901379</v>
      </c>
      <c r="AE116" s="115">
        <v>1430441906</v>
      </c>
      <c r="AF116" s="1" t="s">
        <v>131</v>
      </c>
      <c r="AL116" s="1" t="s">
        <v>132</v>
      </c>
    </row>
    <row r="117" spans="1:38" s="10" customFormat="1" ht="12.75" customHeight="1" x14ac:dyDescent="0.2">
      <c r="A117" s="142" t="s">
        <v>133</v>
      </c>
      <c r="B117" s="143"/>
      <c r="C117" s="143"/>
      <c r="D117" s="143"/>
      <c r="E117" s="143"/>
      <c r="F117" s="143"/>
      <c r="G117" s="144"/>
      <c r="I117" s="145">
        <f>SUM(I118:I119)</f>
        <v>484218.60211000009</v>
      </c>
      <c r="J117" s="145">
        <f t="shared" ref="J117:U117" si="20">SUM(J118:J119)</f>
        <v>576902.79968999978</v>
      </c>
      <c r="K117" s="145">
        <f t="shared" si="20"/>
        <v>3175.9396899994463</v>
      </c>
      <c r="L117" s="145">
        <f t="shared" si="20"/>
        <v>-251746.45064999955</v>
      </c>
      <c r="M117" s="145">
        <f t="shared" si="20"/>
        <v>-340255.45139000006</v>
      </c>
      <c r="N117" s="145">
        <f t="shared" si="20"/>
        <v>144233.66581000015</v>
      </c>
      <c r="O117" s="145">
        <f t="shared" si="20"/>
        <v>692026.40187999979</v>
      </c>
      <c r="P117" s="145">
        <f t="shared" si="20"/>
        <v>-114855.75005000015</v>
      </c>
      <c r="Q117" s="145">
        <f t="shared" si="20"/>
        <v>-9229.1244299970567</v>
      </c>
      <c r="R117" s="145">
        <f t="shared" si="20"/>
        <v>202417.3112499998</v>
      </c>
      <c r="S117" s="145">
        <f t="shared" si="20"/>
        <v>0</v>
      </c>
      <c r="T117" s="145">
        <f t="shared" si="20"/>
        <v>0</v>
      </c>
      <c r="U117" s="146">
        <f t="shared" si="20"/>
        <v>1386887.9439100027</v>
      </c>
      <c r="V117" s="140"/>
      <c r="W117" s="141"/>
      <c r="X117" s="141"/>
      <c r="Y117" s="141"/>
      <c r="Z117" s="37"/>
      <c r="AA117" s="1" t="e">
        <f>+#REF!-#REF!</f>
        <v>#REF!</v>
      </c>
      <c r="AB117" s="31">
        <v>-4215849.896739997</v>
      </c>
      <c r="AD117" s="10" t="e">
        <f>+AD115-AE115</f>
        <v>#REF!</v>
      </c>
      <c r="AE117" s="1" t="e">
        <f>+AE115-AE116</f>
        <v>#REF!</v>
      </c>
      <c r="AF117" s="1" t="s">
        <v>134</v>
      </c>
    </row>
    <row r="118" spans="1:38" ht="12.75" customHeight="1" x14ac:dyDescent="0.2">
      <c r="A118" s="602" t="s">
        <v>135</v>
      </c>
      <c r="B118" s="603"/>
      <c r="C118" s="603"/>
      <c r="D118" s="603"/>
      <c r="E118" s="603"/>
      <c r="F118" s="603"/>
      <c r="G118" s="604"/>
      <c r="H118" s="69"/>
      <c r="I118" s="38">
        <f>-I80+I94+I113</f>
        <v>-596423.39788999991</v>
      </c>
      <c r="J118" s="38">
        <f t="shared" ref="J118:T118" si="21">-J80+J94+J113</f>
        <v>-368947.20031000022</v>
      </c>
      <c r="K118" s="38">
        <f t="shared" si="21"/>
        <v>-344052.06031000055</v>
      </c>
      <c r="L118" s="38">
        <f t="shared" si="21"/>
        <v>-571925.45064999955</v>
      </c>
      <c r="M118" s="38">
        <f t="shared" si="21"/>
        <v>-786426.45139000006</v>
      </c>
      <c r="N118" s="38">
        <f t="shared" si="21"/>
        <v>-494422.33418999985</v>
      </c>
      <c r="O118" s="38">
        <f>-O80+O94+O113</f>
        <v>-335074.59812000021</v>
      </c>
      <c r="P118" s="38">
        <f t="shared" si="21"/>
        <v>-909862.75005000015</v>
      </c>
      <c r="Q118" s="38">
        <f>-Q80+Q94+Q113</f>
        <v>-843437.12442999706</v>
      </c>
      <c r="R118" s="38">
        <f t="shared" si="21"/>
        <v>-551030.6887500002</v>
      </c>
      <c r="S118" s="38">
        <f t="shared" si="21"/>
        <v>0</v>
      </c>
      <c r="T118" s="38">
        <f t="shared" si="21"/>
        <v>0</v>
      </c>
      <c r="U118" s="104">
        <f>-U80+U94+U113</f>
        <v>-5801602.0560899973</v>
      </c>
      <c r="V118" s="42"/>
      <c r="W118" s="43"/>
      <c r="X118" s="43"/>
      <c r="Y118" s="43"/>
      <c r="Z118" s="44"/>
      <c r="AA118" s="1" t="e">
        <f>+#REF!-#REF!</f>
        <v>#REF!</v>
      </c>
      <c r="AB118" s="32">
        <v>-3452210.896739997</v>
      </c>
      <c r="AE118" s="10">
        <v>-51547</v>
      </c>
      <c r="AF118" s="1" t="s">
        <v>136</v>
      </c>
    </row>
    <row r="119" spans="1:38" ht="12.75" customHeight="1" x14ac:dyDescent="0.2">
      <c r="A119" s="148" t="s">
        <v>137</v>
      </c>
      <c r="B119" s="149"/>
      <c r="C119" s="149"/>
      <c r="D119" s="149"/>
      <c r="E119" s="149"/>
      <c r="F119" s="149"/>
      <c r="G119" s="149"/>
      <c r="H119" s="69"/>
      <c r="I119" s="38">
        <v>1080642</v>
      </c>
      <c r="J119" s="38">
        <f>946604-351-265-138</f>
        <v>945850</v>
      </c>
      <c r="K119" s="38">
        <f>352203-4975</f>
        <v>347228</v>
      </c>
      <c r="L119" s="38">
        <f>320743-204-360</f>
        <v>320179</v>
      </c>
      <c r="M119" s="38">
        <f>658418-97-342-655-335-1193-209625</f>
        <v>446171</v>
      </c>
      <c r="N119" s="38">
        <f>640054-1398</f>
        <v>638656</v>
      </c>
      <c r="O119" s="38">
        <f>1029173-2070-2</f>
        <v>1027101</v>
      </c>
      <c r="P119" s="38">
        <f>797466-2412-47</f>
        <v>795007</v>
      </c>
      <c r="Q119" s="38">
        <f>834366-1-157</f>
        <v>834208</v>
      </c>
      <c r="R119" s="38">
        <f>755778-2330</f>
        <v>753448</v>
      </c>
      <c r="S119" s="150">
        <v>0</v>
      </c>
      <c r="T119" s="150">
        <v>0</v>
      </c>
      <c r="U119" s="151">
        <f t="shared" ref="U119:U129" si="22">SUM(I119:T119)</f>
        <v>7188490</v>
      </c>
      <c r="V119" s="42"/>
      <c r="W119" s="43"/>
      <c r="X119" s="43"/>
      <c r="Y119" s="43"/>
      <c r="Z119" s="44"/>
      <c r="AA119" s="1" t="e">
        <f>+#REF!-#REF!</f>
        <v>#REF!</v>
      </c>
      <c r="AB119" s="32">
        <v>-763639</v>
      </c>
      <c r="AE119" s="1" t="e">
        <f>-AE117-AE118</f>
        <v>#REF!</v>
      </c>
      <c r="AF119" s="1" t="s">
        <v>138</v>
      </c>
    </row>
    <row r="120" spans="1:38" s="10" customFormat="1" ht="12.75" customHeight="1" x14ac:dyDescent="0.2">
      <c r="A120" s="79" t="s">
        <v>139</v>
      </c>
      <c r="C120" s="143"/>
      <c r="G120" s="120" t="s">
        <v>140</v>
      </c>
      <c r="H120" s="152"/>
      <c r="I120" s="51">
        <f t="shared" ref="I120:T120" si="23">SUM(I121:I129)</f>
        <v>1280</v>
      </c>
      <c r="J120" s="51">
        <f t="shared" si="23"/>
        <v>326479</v>
      </c>
      <c r="K120" s="51">
        <f t="shared" si="23"/>
        <v>9200</v>
      </c>
      <c r="L120" s="51">
        <f t="shared" si="23"/>
        <v>136714</v>
      </c>
      <c r="M120" s="51">
        <f t="shared" si="23"/>
        <v>209925</v>
      </c>
      <c r="N120" s="51">
        <f t="shared" si="23"/>
        <v>308531</v>
      </c>
      <c r="O120" s="51">
        <f t="shared" si="23"/>
        <v>713</v>
      </c>
      <c r="P120" s="153">
        <f t="shared" si="23"/>
        <v>558807</v>
      </c>
      <c r="Q120" s="153">
        <f t="shared" si="23"/>
        <v>33192</v>
      </c>
      <c r="R120" s="153">
        <f t="shared" si="23"/>
        <v>51269</v>
      </c>
      <c r="S120" s="153">
        <f t="shared" si="23"/>
        <v>0</v>
      </c>
      <c r="T120" s="153">
        <f t="shared" si="23"/>
        <v>0</v>
      </c>
      <c r="U120" s="154">
        <f t="shared" si="22"/>
        <v>1636110</v>
      </c>
      <c r="V120" s="18"/>
      <c r="W120" s="19"/>
      <c r="X120" s="19"/>
      <c r="Y120" s="19"/>
      <c r="Z120" s="37"/>
      <c r="AA120" s="1" t="e">
        <f>+#REF!-#REF!</f>
        <v>#REF!</v>
      </c>
      <c r="AB120" s="31">
        <v>532273</v>
      </c>
    </row>
    <row r="121" spans="1:38" ht="12.75" customHeight="1" x14ac:dyDescent="0.2">
      <c r="A121" s="9"/>
      <c r="E121" s="1" t="s">
        <v>141</v>
      </c>
      <c r="H121" s="69"/>
      <c r="I121" s="38">
        <v>0</v>
      </c>
      <c r="J121" s="38">
        <v>326092</v>
      </c>
      <c r="K121" s="38">
        <v>2563</v>
      </c>
      <c r="L121" s="38">
        <v>135891</v>
      </c>
      <c r="M121" s="38">
        <v>0</v>
      </c>
      <c r="N121" s="38">
        <v>308320</v>
      </c>
      <c r="O121" s="38">
        <v>0</v>
      </c>
      <c r="P121" s="38">
        <v>558257</v>
      </c>
      <c r="Q121" s="38">
        <v>0</v>
      </c>
      <c r="R121" s="38">
        <v>50163</v>
      </c>
      <c r="S121" s="38">
        <v>0</v>
      </c>
      <c r="T121" s="38">
        <v>0</v>
      </c>
      <c r="U121" s="151">
        <f t="shared" si="22"/>
        <v>1381286</v>
      </c>
      <c r="V121" s="42"/>
      <c r="W121" s="43"/>
      <c r="X121" s="43"/>
      <c r="Y121" s="43"/>
      <c r="Z121" s="44"/>
      <c r="AA121" s="1" t="e">
        <f>+#REF!-#REF!</f>
        <v>#REF!</v>
      </c>
      <c r="AB121" s="32">
        <v>1</v>
      </c>
      <c r="AE121" s="10" t="s">
        <v>142</v>
      </c>
    </row>
    <row r="122" spans="1:38" ht="12.75" customHeight="1" x14ac:dyDescent="0.2">
      <c r="A122" s="9"/>
      <c r="E122" s="1" t="s">
        <v>143</v>
      </c>
      <c r="H122" s="69"/>
      <c r="I122" s="38">
        <v>1484</v>
      </c>
      <c r="J122" s="38">
        <v>387</v>
      </c>
      <c r="K122" s="38">
        <v>6637</v>
      </c>
      <c r="L122" s="38">
        <v>619</v>
      </c>
      <c r="M122" s="38">
        <v>300</v>
      </c>
      <c r="N122" s="38">
        <v>211</v>
      </c>
      <c r="O122" s="38">
        <v>713</v>
      </c>
      <c r="P122" s="38">
        <v>550</v>
      </c>
      <c r="Q122" s="38">
        <v>30575</v>
      </c>
      <c r="R122" s="38">
        <v>1106</v>
      </c>
      <c r="S122" s="38">
        <v>0</v>
      </c>
      <c r="T122" s="38">
        <v>0</v>
      </c>
      <c r="U122" s="151">
        <f t="shared" si="22"/>
        <v>42582</v>
      </c>
      <c r="V122" s="42"/>
      <c r="W122" s="43"/>
      <c r="X122" s="43"/>
      <c r="Y122" s="43"/>
      <c r="Z122" s="44"/>
      <c r="AA122" s="1" t="e">
        <f>+#REF!-#REF!</f>
        <v>#REF!</v>
      </c>
      <c r="AB122" s="32">
        <v>0</v>
      </c>
      <c r="AE122" s="1" t="e">
        <f>+#REF!</f>
        <v>#REF!</v>
      </c>
      <c r="AF122" s="32" t="str">
        <f>+'[45]Current year TB'!$L$17</f>
        <v>Inland revenue</v>
      </c>
    </row>
    <row r="123" spans="1:38" ht="12.75" hidden="1" customHeight="1" x14ac:dyDescent="0.2">
      <c r="A123" s="9"/>
      <c r="E123" s="1" t="s">
        <v>144</v>
      </c>
      <c r="H123" s="69"/>
      <c r="I123" s="38">
        <v>0</v>
      </c>
      <c r="J123" s="38">
        <v>0</v>
      </c>
      <c r="K123" s="38">
        <v>0</v>
      </c>
      <c r="L123" s="38">
        <v>0</v>
      </c>
      <c r="M123" s="38">
        <v>0</v>
      </c>
      <c r="N123" s="38">
        <v>0</v>
      </c>
      <c r="O123" s="38">
        <v>0</v>
      </c>
      <c r="P123" s="38">
        <v>0</v>
      </c>
      <c r="Q123" s="38">
        <v>0</v>
      </c>
      <c r="R123" s="38">
        <v>0</v>
      </c>
      <c r="S123" s="38">
        <v>0</v>
      </c>
      <c r="T123" s="38">
        <v>0</v>
      </c>
      <c r="U123" s="151">
        <f t="shared" si="22"/>
        <v>0</v>
      </c>
      <c r="V123" s="42"/>
      <c r="W123" s="43"/>
      <c r="X123" s="43"/>
      <c r="Y123" s="43"/>
      <c r="Z123" s="44"/>
      <c r="AB123" s="32"/>
      <c r="AF123" s="32"/>
    </row>
    <row r="124" spans="1:38" ht="13.9" customHeight="1" x14ac:dyDescent="0.2">
      <c r="A124" s="9"/>
      <c r="E124" s="1" t="s">
        <v>145</v>
      </c>
      <c r="H124" s="69"/>
      <c r="I124" s="38">
        <v>0</v>
      </c>
      <c r="J124" s="38">
        <v>0</v>
      </c>
      <c r="K124" s="38">
        <v>0</v>
      </c>
      <c r="L124" s="38">
        <v>0</v>
      </c>
      <c r="M124" s="38">
        <v>0</v>
      </c>
      <c r="N124" s="38">
        <v>0</v>
      </c>
      <c r="O124" s="38">
        <v>0</v>
      </c>
      <c r="P124" s="38">
        <v>0</v>
      </c>
      <c r="Q124" s="38">
        <v>2617</v>
      </c>
      <c r="R124" s="38">
        <v>0</v>
      </c>
      <c r="S124" s="38">
        <v>0</v>
      </c>
      <c r="T124" s="38">
        <v>0</v>
      </c>
      <c r="U124" s="151">
        <f t="shared" si="22"/>
        <v>2617</v>
      </c>
      <c r="V124" s="42"/>
      <c r="W124" s="43"/>
      <c r="X124" s="43"/>
      <c r="Y124" s="43"/>
      <c r="Z124" s="44"/>
      <c r="AA124" s="1" t="e">
        <f>+#REF!-#REF!</f>
        <v>#REF!</v>
      </c>
      <c r="AB124" s="32">
        <v>-2069</v>
      </c>
      <c r="AE124" s="1" t="e">
        <f>+#REF!</f>
        <v>#REF!</v>
      </c>
      <c r="AF124" s="1" t="s">
        <v>146</v>
      </c>
    </row>
    <row r="125" spans="1:38" ht="12.75" hidden="1" customHeight="1" x14ac:dyDescent="0.2">
      <c r="A125" s="9"/>
      <c r="B125" s="105"/>
      <c r="E125" s="1" t="s">
        <v>147</v>
      </c>
      <c r="H125" s="69"/>
      <c r="I125" s="38">
        <v>0</v>
      </c>
      <c r="J125" s="38">
        <v>0</v>
      </c>
      <c r="K125" s="38">
        <v>0</v>
      </c>
      <c r="L125" s="38">
        <v>0</v>
      </c>
      <c r="M125" s="38">
        <v>0</v>
      </c>
      <c r="N125" s="38">
        <v>0</v>
      </c>
      <c r="O125" s="38">
        <v>0</v>
      </c>
      <c r="P125" s="38">
        <v>0</v>
      </c>
      <c r="Q125" s="38">
        <v>0</v>
      </c>
      <c r="R125" s="38">
        <v>0</v>
      </c>
      <c r="S125" s="38">
        <v>0</v>
      </c>
      <c r="T125" s="38">
        <v>0</v>
      </c>
      <c r="U125" s="151">
        <f t="shared" si="22"/>
        <v>0</v>
      </c>
      <c r="V125" s="42"/>
      <c r="W125" s="43"/>
      <c r="X125" s="43"/>
      <c r="Y125" s="43"/>
      <c r="Z125" s="44"/>
      <c r="AA125" s="1" t="e">
        <f>+#REF!-#REF!</f>
        <v>#REF!</v>
      </c>
      <c r="AB125" s="32">
        <v>0</v>
      </c>
      <c r="AE125" s="10" t="e">
        <f>SUM(AE122:AE124)</f>
        <v>#REF!</v>
      </c>
    </row>
    <row r="126" spans="1:38" ht="12.75" hidden="1" customHeight="1" x14ac:dyDescent="0.2">
      <c r="A126" s="9"/>
      <c r="E126" s="1" t="s">
        <v>148</v>
      </c>
      <c r="H126" s="69"/>
      <c r="I126" s="38">
        <v>0</v>
      </c>
      <c r="J126" s="38">
        <v>0</v>
      </c>
      <c r="K126" s="38">
        <v>0</v>
      </c>
      <c r="L126" s="38">
        <v>0</v>
      </c>
      <c r="M126" s="38">
        <v>0</v>
      </c>
      <c r="N126" s="38">
        <v>0</v>
      </c>
      <c r="O126" s="38">
        <v>0</v>
      </c>
      <c r="P126" s="38">
        <v>0</v>
      </c>
      <c r="Q126" s="38">
        <v>0</v>
      </c>
      <c r="R126" s="38">
        <v>0</v>
      </c>
      <c r="S126" s="38">
        <v>0</v>
      </c>
      <c r="T126" s="38">
        <v>0</v>
      </c>
      <c r="U126" s="151">
        <f>SUM(I126:T126)</f>
        <v>0</v>
      </c>
      <c r="V126" s="42"/>
      <c r="W126" s="43"/>
      <c r="X126" s="43"/>
      <c r="Y126" s="43"/>
      <c r="Z126" s="44"/>
      <c r="AA126" s="1" t="e">
        <f>+#REF!-#REF!</f>
        <v>#REF!</v>
      </c>
      <c r="AB126" s="32">
        <v>-132</v>
      </c>
      <c r="AE126" s="10" t="e">
        <f>SUM(AE125:AE129)</f>
        <v>#REF!</v>
      </c>
      <c r="AF126" s="1" t="s">
        <v>149</v>
      </c>
    </row>
    <row r="127" spans="1:38" ht="12.75" customHeight="1" thickBot="1" x14ac:dyDescent="0.25">
      <c r="A127" s="9"/>
      <c r="E127" s="105" t="s">
        <v>150</v>
      </c>
      <c r="H127" s="69"/>
      <c r="I127" s="38">
        <v>0</v>
      </c>
      <c r="J127" s="38">
        <v>0</v>
      </c>
      <c r="K127" s="38">
        <v>0</v>
      </c>
      <c r="L127" s="38">
        <v>0</v>
      </c>
      <c r="M127" s="38">
        <v>209625</v>
      </c>
      <c r="N127" s="38">
        <v>0</v>
      </c>
      <c r="O127" s="38">
        <v>0</v>
      </c>
      <c r="P127" s="38">
        <v>0</v>
      </c>
      <c r="Q127" s="38">
        <v>0</v>
      </c>
      <c r="R127" s="38">
        <v>0</v>
      </c>
      <c r="S127" s="38">
        <v>0</v>
      </c>
      <c r="T127" s="38">
        <v>0</v>
      </c>
      <c r="U127" s="151">
        <f>SUM(I127:T127)</f>
        <v>209625</v>
      </c>
      <c r="V127" s="42"/>
      <c r="W127" s="43"/>
      <c r="X127" s="43"/>
      <c r="Y127" s="43"/>
      <c r="Z127" s="44"/>
      <c r="AA127" s="1" t="e">
        <f>+#REF!-#REF!</f>
        <v>#REF!</v>
      </c>
      <c r="AB127" s="32">
        <v>532404</v>
      </c>
      <c r="AE127" s="155" t="e">
        <f>SUM(AE126:AE129)</f>
        <v>#REF!</v>
      </c>
    </row>
    <row r="128" spans="1:38" ht="12.75" customHeight="1" thickTop="1" x14ac:dyDescent="0.2">
      <c r="A128" s="9"/>
      <c r="B128" s="105"/>
      <c r="E128" s="1" t="s">
        <v>151</v>
      </c>
      <c r="H128" s="69"/>
      <c r="I128" s="38">
        <v>-204</v>
      </c>
      <c r="J128" s="38">
        <v>0</v>
      </c>
      <c r="K128" s="38">
        <v>0</v>
      </c>
      <c r="L128" s="38">
        <v>204</v>
      </c>
      <c r="M128" s="38">
        <v>0</v>
      </c>
      <c r="N128" s="38">
        <v>0</v>
      </c>
      <c r="O128" s="43">
        <v>0</v>
      </c>
      <c r="P128" s="39">
        <v>0</v>
      </c>
      <c r="Q128" s="38">
        <v>0</v>
      </c>
      <c r="R128" s="38">
        <v>0</v>
      </c>
      <c r="S128" s="38">
        <v>0</v>
      </c>
      <c r="T128" s="38">
        <v>0</v>
      </c>
      <c r="U128" s="151">
        <f t="shared" si="22"/>
        <v>0</v>
      </c>
      <c r="V128" s="43"/>
      <c r="W128" s="43"/>
      <c r="X128" s="43"/>
      <c r="Y128" s="43"/>
      <c r="Z128" s="44"/>
      <c r="AA128" s="1" t="e">
        <f>+#REF!-#REF!</f>
        <v>#REF!</v>
      </c>
      <c r="AB128" s="32">
        <v>0</v>
      </c>
      <c r="AE128" s="1" t="e">
        <f>+#REF!</f>
        <v>#REF!</v>
      </c>
      <c r="AF128" s="1" t="s">
        <v>152</v>
      </c>
    </row>
    <row r="129" spans="1:32" ht="12.75" hidden="1" customHeight="1" x14ac:dyDescent="0.2">
      <c r="A129" s="9"/>
      <c r="B129" s="105"/>
      <c r="E129" s="1" t="s">
        <v>153</v>
      </c>
      <c r="H129" s="69"/>
      <c r="I129" s="38">
        <v>0</v>
      </c>
      <c r="J129" s="38">
        <v>0</v>
      </c>
      <c r="K129" s="38">
        <v>0</v>
      </c>
      <c r="L129" s="38">
        <v>0</v>
      </c>
      <c r="M129" s="38">
        <v>0</v>
      </c>
      <c r="N129" s="38">
        <v>0</v>
      </c>
      <c r="O129" s="43">
        <v>0</v>
      </c>
      <c r="P129" s="39">
        <v>0</v>
      </c>
      <c r="Q129" s="38">
        <v>0</v>
      </c>
      <c r="R129" s="38">
        <v>0</v>
      </c>
      <c r="S129" s="38">
        <v>0</v>
      </c>
      <c r="T129" s="38">
        <v>0</v>
      </c>
      <c r="U129" s="151">
        <f t="shared" si="22"/>
        <v>0</v>
      </c>
      <c r="V129" s="43"/>
      <c r="W129" s="43"/>
      <c r="X129" s="43"/>
      <c r="Y129" s="43"/>
      <c r="Z129" s="44"/>
      <c r="AA129" s="1" t="e">
        <f>+#REF!-#REF!</f>
        <v>#REF!</v>
      </c>
      <c r="AB129" s="32">
        <v>0</v>
      </c>
      <c r="AE129" s="1" t="e">
        <f>+#REF!</f>
        <v>#REF!</v>
      </c>
      <c r="AF129" s="1" t="s">
        <v>154</v>
      </c>
    </row>
    <row r="130" spans="1:32" hidden="1" x14ac:dyDescent="0.2">
      <c r="A130" s="605" t="s">
        <v>155</v>
      </c>
      <c r="B130" s="606"/>
      <c r="C130" s="606"/>
      <c r="D130" s="606"/>
      <c r="E130" s="606"/>
      <c r="F130" s="606"/>
      <c r="G130" s="607"/>
      <c r="H130" s="69"/>
      <c r="I130" s="38">
        <v>0</v>
      </c>
      <c r="J130" s="38">
        <v>0</v>
      </c>
      <c r="K130" s="38">
        <v>0</v>
      </c>
      <c r="L130" s="38">
        <v>0</v>
      </c>
      <c r="M130" s="38">
        <v>0</v>
      </c>
      <c r="N130" s="38">
        <v>0</v>
      </c>
      <c r="O130" s="38">
        <v>0</v>
      </c>
      <c r="P130" s="38">
        <v>0</v>
      </c>
      <c r="Q130" s="38">
        <v>0</v>
      </c>
      <c r="R130" s="38">
        <v>0</v>
      </c>
      <c r="S130" s="38">
        <v>0</v>
      </c>
      <c r="T130" s="38">
        <v>0</v>
      </c>
      <c r="U130" s="151">
        <f t="shared" ref="U130" si="24">SUM(I130:T130)</f>
        <v>0</v>
      </c>
      <c r="V130" s="42"/>
      <c r="W130" s="43"/>
      <c r="X130" s="43"/>
      <c r="Y130" s="43"/>
      <c r="Z130" s="44"/>
      <c r="AA130" s="1" t="e">
        <f>+#REF!-#REF!</f>
        <v>#REF!</v>
      </c>
      <c r="AB130" s="32">
        <v>-0.20000000000000284</v>
      </c>
    </row>
    <row r="131" spans="1:32" ht="12.75" customHeight="1" x14ac:dyDescent="0.2">
      <c r="A131" s="9" t="s">
        <v>156</v>
      </c>
      <c r="G131" s="72"/>
      <c r="H131" s="39">
        <v>40607888.053000003</v>
      </c>
      <c r="I131" s="38">
        <v>2558272.5997100002</v>
      </c>
      <c r="J131" s="38">
        <v>1599970.9169700001</v>
      </c>
      <c r="K131" s="38">
        <v>1260801.7249700001</v>
      </c>
      <c r="L131" s="38">
        <v>2357605.6139199999</v>
      </c>
      <c r="M131" s="38">
        <v>3646053.3910400001</v>
      </c>
      <c r="N131" s="38">
        <v>5159495.2959899995</v>
      </c>
      <c r="O131" s="38">
        <v>5216230.9491499998</v>
      </c>
      <c r="P131" s="38">
        <v>3621546.1784200002</v>
      </c>
      <c r="Q131" s="38">
        <v>3541896.2725</v>
      </c>
      <c r="R131" s="38">
        <v>3837502.53632</v>
      </c>
      <c r="S131" s="150">
        <v>0</v>
      </c>
      <c r="T131" s="150">
        <v>0</v>
      </c>
      <c r="U131" s="151">
        <f>SUM(I131:T131)</f>
        <v>32799375.478990003</v>
      </c>
      <c r="V131" s="42"/>
      <c r="W131" s="43"/>
      <c r="X131" s="43"/>
      <c r="Y131" s="43"/>
      <c r="Z131" s="44"/>
      <c r="AA131" s="1" t="e">
        <f>+#REF!-#REF!</f>
        <v>#REF!</v>
      </c>
      <c r="AB131" s="32">
        <v>-2.6400089263916016E-3</v>
      </c>
      <c r="AD131" s="10"/>
    </row>
    <row r="132" spans="1:32" ht="12.75" customHeight="1" x14ac:dyDescent="0.2">
      <c r="A132" s="157" t="s">
        <v>157</v>
      </c>
      <c r="B132" s="158"/>
      <c r="C132" s="158"/>
      <c r="D132" s="158"/>
      <c r="E132" s="158"/>
      <c r="F132" s="158"/>
      <c r="G132" s="158"/>
      <c r="H132" s="159">
        <v>18723708.276999999</v>
      </c>
      <c r="I132" s="160">
        <v>1443405.03764</v>
      </c>
      <c r="J132" s="160">
        <v>1326166.2971099999</v>
      </c>
      <c r="K132" s="160">
        <v>1291739.155</v>
      </c>
      <c r="L132" s="160">
        <v>1457469.74217</v>
      </c>
      <c r="M132" s="160">
        <v>1549732.60968</v>
      </c>
      <c r="N132" s="160">
        <v>1578687.52061</v>
      </c>
      <c r="O132" s="160">
        <v>1531309.00902</v>
      </c>
      <c r="P132" s="160">
        <v>1589698.23523</v>
      </c>
      <c r="Q132" s="160">
        <v>1721507.47046</v>
      </c>
      <c r="R132" s="160">
        <v>1629108.45141</v>
      </c>
      <c r="S132" s="159">
        <v>0</v>
      </c>
      <c r="T132" s="159">
        <v>0</v>
      </c>
      <c r="U132" s="161">
        <f>SUM(I132:T132)</f>
        <v>15118823.52833</v>
      </c>
      <c r="V132" s="42"/>
      <c r="W132" s="43"/>
      <c r="X132" s="43"/>
      <c r="Y132" s="43"/>
      <c r="Z132" s="44"/>
      <c r="AA132" s="1" t="e">
        <f>+#REF!-#REF!</f>
        <v>#REF!</v>
      </c>
      <c r="AB132" s="32">
        <v>-0.37992999702692032</v>
      </c>
    </row>
    <row r="133" spans="1:32" ht="12.75" customHeight="1" x14ac:dyDescent="0.2">
      <c r="A133" s="79" t="s">
        <v>158</v>
      </c>
      <c r="H133" s="53"/>
      <c r="I133" s="51">
        <f t="shared" ref="I133:U133" si="25">+I116+I117+I120+I130+I131+I132</f>
        <v>67582916.620230004</v>
      </c>
      <c r="J133" s="51">
        <f t="shared" si="25"/>
        <v>71935965.036200017</v>
      </c>
      <c r="K133" s="51">
        <f t="shared" si="25"/>
        <v>111119018.19630001</v>
      </c>
      <c r="L133" s="51">
        <f t="shared" si="25"/>
        <v>66546355.865609996</v>
      </c>
      <c r="M133" s="51">
        <f t="shared" si="25"/>
        <v>106920604.21582998</v>
      </c>
      <c r="N133" s="51">
        <f t="shared" si="25"/>
        <v>112870202.75457998</v>
      </c>
      <c r="O133" s="51">
        <f t="shared" si="25"/>
        <v>90670996.475909993</v>
      </c>
      <c r="P133" s="51">
        <f t="shared" si="25"/>
        <v>104873390.44219001</v>
      </c>
      <c r="Q133" s="51">
        <f t="shared" si="25"/>
        <v>181658060.38802999</v>
      </c>
      <c r="R133" s="51">
        <f t="shared" si="25"/>
        <v>93196838.759669974</v>
      </c>
      <c r="S133" s="51">
        <f t="shared" si="25"/>
        <v>0</v>
      </c>
      <c r="T133" s="51">
        <f t="shared" si="25"/>
        <v>0</v>
      </c>
      <c r="U133" s="118">
        <f t="shared" si="25"/>
        <v>1007374347.7545499</v>
      </c>
      <c r="V133" s="140"/>
      <c r="W133" s="141"/>
      <c r="X133" s="141"/>
      <c r="Y133" s="141"/>
      <c r="Z133" s="44"/>
      <c r="AA133" s="1" t="e">
        <f>+#REF!-#REF!</f>
        <v>#REF!</v>
      </c>
      <c r="AB133" s="32">
        <v>-644823.67811989784</v>
      </c>
    </row>
    <row r="134" spans="1:32" ht="12.75" customHeight="1" x14ac:dyDescent="0.2">
      <c r="A134" s="9" t="s">
        <v>159</v>
      </c>
      <c r="G134" s="120"/>
      <c r="H134" s="69"/>
      <c r="I134" s="38">
        <v>16415</v>
      </c>
      <c r="J134" s="38">
        <v>3123</v>
      </c>
      <c r="K134" s="38">
        <v>-12025</v>
      </c>
      <c r="L134" s="38">
        <v>13620</v>
      </c>
      <c r="M134" s="38">
        <v>-26756</v>
      </c>
      <c r="N134" s="38">
        <v>15209</v>
      </c>
      <c r="O134" s="38">
        <v>32487</v>
      </c>
      <c r="P134" s="38">
        <v>1142</v>
      </c>
      <c r="Q134" s="38">
        <v>13195</v>
      </c>
      <c r="R134" s="38">
        <v>-29488</v>
      </c>
      <c r="S134" s="150">
        <v>0</v>
      </c>
      <c r="T134" s="150">
        <v>0</v>
      </c>
      <c r="U134" s="151">
        <f>SUM(I134:T134)</f>
        <v>26922</v>
      </c>
      <c r="V134" s="42"/>
      <c r="W134" s="43"/>
      <c r="X134" s="43"/>
      <c r="Y134" s="43"/>
      <c r="Z134" s="44"/>
      <c r="AA134" s="1" t="e">
        <f>+#REF!-#REF!</f>
        <v>#REF!</v>
      </c>
      <c r="AB134" s="32">
        <v>-21</v>
      </c>
      <c r="AE134" s="10"/>
    </row>
    <row r="135" spans="1:32" ht="12.75" customHeight="1" x14ac:dyDescent="0.2">
      <c r="A135" s="605" t="s">
        <v>160</v>
      </c>
      <c r="B135" s="606"/>
      <c r="C135" s="606"/>
      <c r="D135" s="606"/>
      <c r="E135" s="606"/>
      <c r="F135" s="606"/>
      <c r="G135" s="607"/>
      <c r="H135" s="69"/>
      <c r="I135" s="38">
        <v>0</v>
      </c>
      <c r="J135" s="38">
        <v>0</v>
      </c>
      <c r="K135" s="38">
        <v>0</v>
      </c>
      <c r="L135" s="38">
        <v>0</v>
      </c>
      <c r="M135" s="38">
        <v>0</v>
      </c>
      <c r="N135" s="38">
        <v>0</v>
      </c>
      <c r="O135" s="38">
        <v>0</v>
      </c>
      <c r="P135" s="38">
        <v>0</v>
      </c>
      <c r="Q135" s="38">
        <v>0</v>
      </c>
      <c r="R135" s="38">
        <v>0</v>
      </c>
      <c r="S135" s="150">
        <v>0</v>
      </c>
      <c r="T135" s="150">
        <v>0</v>
      </c>
      <c r="U135" s="151">
        <f>SUM(I135:T135)</f>
        <v>0</v>
      </c>
      <c r="V135" s="42"/>
      <c r="W135" s="43"/>
      <c r="X135" s="43"/>
      <c r="Y135" s="43"/>
      <c r="Z135" s="44"/>
      <c r="AA135" s="1" t="e">
        <f>+#REF!-#REF!</f>
        <v>#REF!</v>
      </c>
      <c r="AB135" s="32">
        <v>0</v>
      </c>
    </row>
    <row r="136" spans="1:32" ht="12.75" customHeight="1" x14ac:dyDescent="0.2">
      <c r="A136" s="9" t="s">
        <v>161</v>
      </c>
      <c r="H136" s="69"/>
      <c r="I136" s="38">
        <v>-3770745</v>
      </c>
      <c r="J136" s="38">
        <v>-2558273</v>
      </c>
      <c r="K136" s="38">
        <v>-1599971</v>
      </c>
      <c r="L136" s="38">
        <v>-1260802</v>
      </c>
      <c r="M136" s="38">
        <v>-2357606</v>
      </c>
      <c r="N136" s="38">
        <v>-3646053</v>
      </c>
      <c r="O136" s="102">
        <v>-5159495</v>
      </c>
      <c r="P136" s="38">
        <v>-5216231</v>
      </c>
      <c r="Q136" s="38">
        <v>0</v>
      </c>
      <c r="R136" s="38">
        <v>-7163442</v>
      </c>
      <c r="S136" s="150">
        <v>0</v>
      </c>
      <c r="T136" s="150">
        <v>0</v>
      </c>
      <c r="U136" s="151">
        <f>SUM(I136:T136)</f>
        <v>-32732618</v>
      </c>
      <c r="V136" s="42"/>
      <c r="W136" s="43"/>
      <c r="X136" s="43"/>
      <c r="Y136" s="43"/>
      <c r="Z136" s="44"/>
      <c r="AA136" s="1" t="e">
        <f>+#REF!-#REF!</f>
        <v>#REF!</v>
      </c>
      <c r="AB136" s="32">
        <v>0</v>
      </c>
      <c r="AE136" s="10"/>
    </row>
    <row r="137" spans="1:32" ht="12.75" customHeight="1" x14ac:dyDescent="0.2">
      <c r="A137" s="9" t="s">
        <v>162</v>
      </c>
      <c r="H137" s="69"/>
      <c r="I137" s="38">
        <v>-1895789</v>
      </c>
      <c r="J137" s="38">
        <v>-1443405</v>
      </c>
      <c r="K137" s="38">
        <v>-1326166</v>
      </c>
      <c r="L137" s="38">
        <v>-1291739</v>
      </c>
      <c r="M137" s="38">
        <v>-1457470</v>
      </c>
      <c r="N137" s="38">
        <v>-1549733</v>
      </c>
      <c r="O137" s="102">
        <v>-1578687</v>
      </c>
      <c r="P137" s="38">
        <v>-1531309</v>
      </c>
      <c r="Q137" s="38">
        <f>-1589698</f>
        <v>-1589698</v>
      </c>
      <c r="R137" s="38">
        <v>-1721508</v>
      </c>
      <c r="S137" s="150">
        <v>0</v>
      </c>
      <c r="T137" s="150">
        <v>0</v>
      </c>
      <c r="U137" s="151">
        <f>SUM(I137:T137)</f>
        <v>-15385504</v>
      </c>
      <c r="V137" s="42"/>
      <c r="W137" s="43"/>
      <c r="X137" s="43"/>
      <c r="Y137" s="43"/>
      <c r="Z137" s="44"/>
      <c r="AA137" s="1" t="e">
        <f>+#REF!-#REF!</f>
        <v>#REF!</v>
      </c>
      <c r="AB137" s="32">
        <v>0</v>
      </c>
    </row>
    <row r="138" spans="1:32" ht="12.75" customHeight="1" x14ac:dyDescent="0.2">
      <c r="A138" s="608" t="s">
        <v>163</v>
      </c>
      <c r="B138" s="609"/>
      <c r="C138" s="609"/>
      <c r="D138" s="609"/>
      <c r="E138" s="609"/>
      <c r="F138" s="609"/>
      <c r="G138" s="610"/>
      <c r="H138" s="159"/>
      <c r="I138" s="38">
        <f>350-50000</f>
        <v>-49650</v>
      </c>
      <c r="J138" s="38">
        <v>32382</v>
      </c>
      <c r="K138" s="38">
        <f>1320-1380-2300</f>
        <v>-2360</v>
      </c>
      <c r="L138" s="38">
        <v>18537</v>
      </c>
      <c r="M138" s="38">
        <v>1744</v>
      </c>
      <c r="N138" s="38">
        <f>1048-1802</f>
        <v>-754</v>
      </c>
      <c r="O138" s="38">
        <f>714-30000-3647-20000</f>
        <v>-52933</v>
      </c>
      <c r="P138" s="38">
        <v>2704</v>
      </c>
      <c r="Q138" s="38">
        <v>2519</v>
      </c>
      <c r="R138" s="38">
        <v>2262</v>
      </c>
      <c r="S138" s="150">
        <v>0</v>
      </c>
      <c r="T138" s="150">
        <v>0</v>
      </c>
      <c r="U138" s="151">
        <f>SUM(I138:T138)</f>
        <v>-45549</v>
      </c>
      <c r="V138" s="42"/>
      <c r="W138" s="43"/>
      <c r="X138" s="43"/>
      <c r="Y138" s="43"/>
      <c r="Z138" s="44"/>
      <c r="AA138" s="1" t="e">
        <f>+#REF!-#REF!</f>
        <v>#REF!</v>
      </c>
      <c r="AB138" s="32">
        <v>0</v>
      </c>
    </row>
    <row r="139" spans="1:32" ht="12.75" customHeight="1" x14ac:dyDescent="0.2">
      <c r="A139" s="130" t="s">
        <v>164</v>
      </c>
      <c r="B139" s="92"/>
      <c r="C139" s="92"/>
      <c r="D139" s="92"/>
      <c r="E139" s="92"/>
      <c r="F139" s="92"/>
      <c r="G139" s="94"/>
      <c r="H139" s="131"/>
      <c r="I139" s="131">
        <f>SUM(I133:I138)</f>
        <v>61883147.620230004</v>
      </c>
      <c r="J139" s="131">
        <f t="shared" ref="J139:T139" si="26">SUM(J133:J138)</f>
        <v>67969792.036200017</v>
      </c>
      <c r="K139" s="131">
        <f t="shared" si="26"/>
        <v>108178496.19630001</v>
      </c>
      <c r="L139" s="131">
        <f t="shared" si="26"/>
        <v>64025971.865609996</v>
      </c>
      <c r="M139" s="131">
        <f t="shared" si="26"/>
        <v>103080516.21582998</v>
      </c>
      <c r="N139" s="131">
        <f t="shared" si="26"/>
        <v>107688871.75457998</v>
      </c>
      <c r="O139" s="131">
        <f>SUM(O133:O138)+1</f>
        <v>83912369.475909993</v>
      </c>
      <c r="P139" s="131">
        <f t="shared" si="26"/>
        <v>98129696.442190006</v>
      </c>
      <c r="Q139" s="131">
        <f>SUM(Q133:Q138)</f>
        <v>180084076.38802999</v>
      </c>
      <c r="R139" s="131">
        <f t="shared" si="26"/>
        <v>84284662.759669974</v>
      </c>
      <c r="S139" s="131">
        <f t="shared" si="26"/>
        <v>0</v>
      </c>
      <c r="T139" s="131">
        <f t="shared" si="26"/>
        <v>0</v>
      </c>
      <c r="U139" s="132">
        <f>SUM(U133:U138)+1</f>
        <v>959237599.75454986</v>
      </c>
      <c r="V139" s="79"/>
      <c r="W139" s="10"/>
      <c r="X139" s="10"/>
      <c r="Y139" s="10"/>
      <c r="Z139" s="44"/>
      <c r="AA139" s="1" t="e">
        <f>+#REF!-#REF!</f>
        <v>#REF!</v>
      </c>
      <c r="AB139" s="32">
        <v>-644843.67811989784</v>
      </c>
    </row>
    <row r="140" spans="1:32" s="165" customFormat="1" ht="12.75" customHeight="1" x14ac:dyDescent="0.2">
      <c r="A140" s="611" t="s">
        <v>165</v>
      </c>
      <c r="B140" s="611"/>
      <c r="C140" s="611"/>
      <c r="D140" s="611"/>
      <c r="E140" s="611"/>
      <c r="F140" s="611"/>
      <c r="G140" s="611"/>
      <c r="H140" s="611"/>
      <c r="I140" s="611"/>
      <c r="J140" s="611"/>
      <c r="K140" s="611"/>
      <c r="L140" s="611"/>
      <c r="M140" s="611"/>
      <c r="N140" s="611"/>
      <c r="O140" s="611"/>
      <c r="P140" s="611"/>
      <c r="Q140" s="611"/>
      <c r="R140" s="611"/>
      <c r="S140" s="611"/>
      <c r="T140" s="611"/>
      <c r="U140" s="611"/>
      <c r="AD140" s="1"/>
      <c r="AE140" s="1"/>
      <c r="AF140" s="1"/>
    </row>
    <row r="141" spans="1:32" ht="12.75" customHeight="1" x14ac:dyDescent="0.2">
      <c r="A141" s="599" t="s">
        <v>166</v>
      </c>
      <c r="B141" s="599"/>
      <c r="C141" s="599"/>
      <c r="D141" s="599"/>
      <c r="E141" s="599"/>
      <c r="F141" s="599"/>
      <c r="G141" s="599"/>
      <c r="H141" s="599"/>
      <c r="I141" s="599"/>
      <c r="J141" s="599"/>
      <c r="K141" s="599"/>
      <c r="L141" s="599"/>
      <c r="M141" s="599"/>
      <c r="N141" s="599"/>
      <c r="O141" s="599"/>
      <c r="P141" s="599"/>
      <c r="Q141" s="599"/>
      <c r="R141" s="599"/>
      <c r="S141" s="599"/>
      <c r="T141" s="599"/>
      <c r="U141" s="599"/>
      <c r="V141" s="165"/>
      <c r="W141" s="165"/>
      <c r="X141" s="165"/>
      <c r="Y141" s="165"/>
      <c r="Z141" s="165"/>
      <c r="AE141" s="165"/>
      <c r="AF141" s="32"/>
    </row>
    <row r="142" spans="1:32" ht="12.75" customHeight="1" x14ac:dyDescent="0.2">
      <c r="A142" s="599" t="s">
        <v>167</v>
      </c>
      <c r="B142" s="599"/>
      <c r="C142" s="599"/>
      <c r="D142" s="599"/>
      <c r="E142" s="599"/>
      <c r="F142" s="599"/>
      <c r="G142" s="599"/>
      <c r="H142" s="599"/>
      <c r="I142" s="599"/>
      <c r="J142" s="599"/>
      <c r="K142" s="599"/>
      <c r="L142" s="599"/>
      <c r="M142" s="599"/>
      <c r="N142" s="599"/>
      <c r="O142" s="599"/>
      <c r="P142" s="599"/>
      <c r="Q142" s="599"/>
      <c r="R142" s="599"/>
      <c r="S142" s="599"/>
      <c r="T142" s="599"/>
      <c r="U142" s="599"/>
      <c r="V142" s="165"/>
      <c r="W142" s="165"/>
      <c r="X142" s="165"/>
      <c r="Y142" s="165"/>
      <c r="Z142" s="32"/>
      <c r="AA142" s="32"/>
      <c r="AB142" s="32"/>
      <c r="AC142" s="32"/>
      <c r="AE142" s="165"/>
    </row>
    <row r="143" spans="1:32" ht="12.75" customHeight="1" x14ac:dyDescent="0.2">
      <c r="A143" s="599" t="s">
        <v>168</v>
      </c>
      <c r="B143" s="599"/>
      <c r="C143" s="599"/>
      <c r="D143" s="599"/>
      <c r="E143" s="599"/>
      <c r="F143" s="599"/>
      <c r="G143" s="599"/>
      <c r="H143" s="599"/>
      <c r="I143" s="599"/>
      <c r="J143" s="599"/>
      <c r="K143" s="599"/>
      <c r="L143" s="599"/>
      <c r="M143" s="599"/>
      <c r="N143" s="599"/>
      <c r="O143" s="599"/>
      <c r="P143" s="599"/>
      <c r="Q143" s="599"/>
      <c r="R143" s="599"/>
      <c r="S143" s="599"/>
      <c r="T143" s="599"/>
      <c r="U143" s="599"/>
      <c r="V143" s="165"/>
      <c r="W143" s="165"/>
      <c r="X143" s="165"/>
      <c r="Y143" s="165"/>
      <c r="Z143" s="31"/>
      <c r="AA143" s="31"/>
      <c r="AB143" s="31"/>
      <c r="AC143" s="31"/>
    </row>
    <row r="144" spans="1:32" ht="12.75" customHeight="1" x14ac:dyDescent="0.2">
      <c r="A144" s="599" t="s">
        <v>169</v>
      </c>
      <c r="B144" s="599"/>
      <c r="C144" s="599"/>
      <c r="D144" s="599"/>
      <c r="E144" s="599"/>
      <c r="F144" s="599"/>
      <c r="G144" s="599"/>
      <c r="H144" s="599"/>
      <c r="I144" s="599"/>
      <c r="J144" s="599"/>
      <c r="K144" s="599"/>
      <c r="L144" s="599"/>
      <c r="M144" s="599"/>
      <c r="N144" s="599"/>
      <c r="O144" s="599"/>
      <c r="P144" s="599"/>
      <c r="Q144" s="599"/>
      <c r="R144" s="599"/>
      <c r="S144" s="599"/>
      <c r="T144" s="599"/>
      <c r="U144" s="599"/>
      <c r="V144" s="165"/>
      <c r="W144" s="165"/>
      <c r="X144" s="165"/>
      <c r="Y144" s="165"/>
    </row>
    <row r="145" spans="1:40" ht="12.75" customHeight="1" x14ac:dyDescent="0.2">
      <c r="A145" s="165" t="s">
        <v>170</v>
      </c>
      <c r="B145" s="165"/>
      <c r="C145" s="165"/>
      <c r="D145" s="165"/>
      <c r="E145" s="165"/>
      <c r="F145" s="165"/>
      <c r="G145" s="165"/>
      <c r="H145" s="165"/>
      <c r="I145" s="165"/>
      <c r="J145" s="165"/>
      <c r="K145" s="165"/>
      <c r="L145" s="165"/>
      <c r="M145" s="165"/>
      <c r="N145" s="165"/>
      <c r="O145" s="165"/>
      <c r="P145" s="165"/>
      <c r="Q145" s="165"/>
      <c r="R145" s="165"/>
      <c r="S145" s="165"/>
      <c r="T145" s="165"/>
      <c r="U145" s="165"/>
      <c r="V145" s="165"/>
      <c r="W145" s="165"/>
      <c r="X145" s="165"/>
      <c r="Y145" s="165"/>
    </row>
    <row r="146" spans="1:40" ht="12.75" customHeight="1" x14ac:dyDescent="0.2">
      <c r="A146" s="599" t="s">
        <v>171</v>
      </c>
      <c r="B146" s="599"/>
      <c r="C146" s="599"/>
      <c r="D146" s="599"/>
      <c r="E146" s="599"/>
      <c r="F146" s="599"/>
      <c r="G146" s="599"/>
      <c r="H146" s="599"/>
      <c r="I146" s="599"/>
      <c r="J146" s="599"/>
      <c r="K146" s="599"/>
      <c r="L146" s="599"/>
      <c r="M146" s="599"/>
      <c r="N146" s="599"/>
      <c r="O146" s="599"/>
      <c r="P146" s="599"/>
      <c r="Q146" s="599"/>
      <c r="R146" s="599"/>
      <c r="S146" s="599"/>
      <c r="T146" s="599"/>
      <c r="U146" s="599"/>
      <c r="V146" s="165"/>
      <c r="W146" s="165"/>
      <c r="X146" s="165"/>
      <c r="Y146" s="165"/>
    </row>
    <row r="147" spans="1:40" ht="12.75" customHeight="1" x14ac:dyDescent="0.2">
      <c r="A147" s="165"/>
      <c r="B147" s="165"/>
      <c r="C147" s="165"/>
      <c r="D147" s="165"/>
      <c r="E147" s="166"/>
      <c r="F147" s="165"/>
      <c r="G147" s="165"/>
      <c r="I147" s="165"/>
      <c r="J147" s="165"/>
      <c r="K147" s="165"/>
      <c r="L147" s="165"/>
      <c r="M147" s="165"/>
      <c r="N147" s="165"/>
      <c r="O147" s="165"/>
      <c r="P147" s="165"/>
      <c r="Q147" s="165"/>
      <c r="R147" s="165"/>
      <c r="S147" s="165"/>
      <c r="T147" s="165"/>
      <c r="U147" s="165"/>
      <c r="V147" s="32"/>
      <c r="W147" s="32"/>
      <c r="X147" s="32"/>
      <c r="Y147" s="32"/>
    </row>
    <row r="148" spans="1:40" s="168" customFormat="1" ht="15" customHeight="1" x14ac:dyDescent="0.2">
      <c r="A148" s="167"/>
      <c r="B148" s="167"/>
      <c r="C148" s="167"/>
      <c r="E148" s="167"/>
      <c r="Z148" s="167"/>
    </row>
    <row r="149" spans="1:40" s="169" customFormat="1" ht="15" customHeight="1" x14ac:dyDescent="0.2"/>
    <row r="150" spans="1:40" s="168" customFormat="1" ht="15" customHeight="1" x14ac:dyDescent="0.2">
      <c r="AD150" s="169"/>
      <c r="AE150" s="169"/>
    </row>
    <row r="151" spans="1:40" s="168" customFormat="1" ht="15" customHeight="1" x14ac:dyDescent="0.2">
      <c r="H151" s="170"/>
      <c r="I151" s="170"/>
      <c r="J151" s="170"/>
      <c r="K151" s="170"/>
      <c r="L151" s="170"/>
      <c r="M151" s="170"/>
      <c r="N151" s="170"/>
      <c r="O151" s="170"/>
      <c r="P151" s="170"/>
      <c r="Q151" s="170"/>
      <c r="R151" s="170"/>
      <c r="S151" s="170"/>
      <c r="T151" s="170"/>
      <c r="U151" s="170"/>
      <c r="V151" s="170"/>
      <c r="W151" s="170"/>
      <c r="X151" s="170"/>
      <c r="Y151" s="170"/>
      <c r="AD151" s="169"/>
      <c r="AE151" s="169"/>
    </row>
    <row r="152" spans="1:40" s="168" customFormat="1" ht="15" customHeight="1" x14ac:dyDescent="0.2">
      <c r="H152" s="25"/>
      <c r="I152" s="25"/>
      <c r="J152" s="25"/>
      <c r="K152" s="25"/>
      <c r="L152" s="25"/>
      <c r="M152" s="25"/>
      <c r="N152" s="25"/>
      <c r="O152" s="170"/>
      <c r="P152" s="25"/>
      <c r="Q152" s="25"/>
      <c r="R152" s="25"/>
      <c r="S152" s="25"/>
      <c r="T152" s="25"/>
      <c r="U152" s="25"/>
      <c r="V152" s="25"/>
      <c r="W152" s="25"/>
      <c r="X152" s="25"/>
      <c r="Y152" s="25"/>
      <c r="Z152" s="25"/>
      <c r="AA152" s="25"/>
      <c r="AB152" s="25"/>
      <c r="AC152" s="25"/>
      <c r="AD152" s="25"/>
      <c r="AE152" s="25"/>
      <c r="AF152" s="25"/>
      <c r="AG152" s="25"/>
      <c r="AH152" s="25"/>
      <c r="AI152" s="25"/>
      <c r="AJ152" s="25"/>
      <c r="AK152" s="25"/>
      <c r="AL152" s="25"/>
      <c r="AM152" s="25"/>
      <c r="AN152" s="25"/>
    </row>
    <row r="153" spans="1:40" s="168" customFormat="1" ht="15" customHeight="1" x14ac:dyDescent="0.2">
      <c r="H153" s="25"/>
      <c r="I153" s="25"/>
      <c r="J153" s="25"/>
      <c r="K153" s="25"/>
      <c r="L153" s="25"/>
      <c r="M153" s="25"/>
      <c r="N153" s="25"/>
      <c r="O153" s="25"/>
      <c r="P153" s="25"/>
      <c r="Q153" s="25"/>
      <c r="R153" s="25"/>
      <c r="S153" s="25"/>
      <c r="T153" s="25"/>
      <c r="U153" s="25"/>
      <c r="V153" s="25"/>
      <c r="W153" s="25"/>
      <c r="X153" s="25"/>
      <c r="Y153" s="25"/>
    </row>
    <row r="154" spans="1:40" s="168" customFormat="1" ht="15" customHeight="1" x14ac:dyDescent="0.2">
      <c r="H154" s="170"/>
      <c r="I154" s="170"/>
      <c r="J154" s="170"/>
      <c r="K154" s="170"/>
      <c r="L154" s="170"/>
      <c r="M154" s="170"/>
      <c r="N154" s="170"/>
      <c r="O154" s="170"/>
      <c r="P154" s="170"/>
      <c r="Q154" s="170"/>
      <c r="R154" s="170"/>
      <c r="S154" s="170"/>
      <c r="T154" s="170"/>
      <c r="U154" s="170"/>
      <c r="V154" s="170"/>
      <c r="W154" s="170"/>
      <c r="X154" s="170"/>
      <c r="Y154" s="170"/>
    </row>
    <row r="155" spans="1:40" s="168" customFormat="1" ht="15" customHeight="1" x14ac:dyDescent="0.2"/>
    <row r="156" spans="1:40" s="168" customFormat="1" ht="15" customHeight="1" x14ac:dyDescent="0.2"/>
    <row r="157" spans="1:40" s="168" customFormat="1" ht="15" customHeight="1" x14ac:dyDescent="0.2"/>
    <row r="158" spans="1:40" ht="12.75" customHeight="1" x14ac:dyDescent="0.2"/>
    <row r="159" spans="1:40" ht="12.75" customHeight="1" x14ac:dyDescent="0.2"/>
    <row r="160" spans="1:4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row r="1001" ht="12.75" customHeight="1" x14ac:dyDescent="0.2"/>
    <row r="1002" ht="12.75" customHeight="1" x14ac:dyDescent="0.2"/>
    <row r="1003" ht="12.75" customHeight="1" x14ac:dyDescent="0.2"/>
    <row r="1004" ht="12.75" customHeight="1" x14ac:dyDescent="0.2"/>
    <row r="1005" ht="12.75" customHeight="1" x14ac:dyDescent="0.2"/>
    <row r="1006" ht="12.75" customHeight="1" x14ac:dyDescent="0.2"/>
    <row r="1007" ht="12.75" customHeight="1" x14ac:dyDescent="0.2"/>
    <row r="1008" ht="12.75" customHeight="1" x14ac:dyDescent="0.2"/>
    <row r="1009" ht="12.75" customHeight="1" x14ac:dyDescent="0.2"/>
    <row r="1010" ht="12.75" customHeight="1" x14ac:dyDescent="0.2"/>
    <row r="1011" ht="12.75" customHeight="1" x14ac:dyDescent="0.2"/>
    <row r="1012" ht="12.75" customHeight="1" x14ac:dyDescent="0.2"/>
    <row r="1013" ht="12.75" customHeight="1" x14ac:dyDescent="0.2"/>
    <row r="1014" ht="12.75" customHeight="1" x14ac:dyDescent="0.2"/>
    <row r="1015" ht="12.75" customHeight="1" x14ac:dyDescent="0.2"/>
    <row r="1016" ht="12.75" customHeight="1" x14ac:dyDescent="0.2"/>
    <row r="1017" ht="12.75" customHeight="1" x14ac:dyDescent="0.2"/>
    <row r="1018" ht="12.75" customHeight="1" x14ac:dyDescent="0.2"/>
    <row r="1019" ht="12.75" customHeight="1" x14ac:dyDescent="0.2"/>
    <row r="1020" ht="12.75" customHeight="1" x14ac:dyDescent="0.2"/>
    <row r="1021" ht="12.75" customHeight="1" x14ac:dyDescent="0.2"/>
    <row r="1022" ht="12.75" customHeight="1" x14ac:dyDescent="0.2"/>
    <row r="1023" ht="12.75" customHeight="1" x14ac:dyDescent="0.2"/>
    <row r="1024" ht="12.75" customHeight="1" x14ac:dyDescent="0.2"/>
    <row r="1025" ht="12.75" customHeight="1" x14ac:dyDescent="0.2"/>
    <row r="1026" ht="12.75" customHeight="1" x14ac:dyDescent="0.2"/>
    <row r="1027" ht="12.75" customHeight="1" x14ac:dyDescent="0.2"/>
    <row r="1028" ht="12.75" customHeight="1" x14ac:dyDescent="0.2"/>
    <row r="1029" ht="12.75" customHeight="1" x14ac:dyDescent="0.2"/>
    <row r="1030" ht="12.75" customHeight="1" x14ac:dyDescent="0.2"/>
    <row r="1031" ht="12.75" customHeight="1" x14ac:dyDescent="0.2"/>
    <row r="1032" ht="12.75" customHeight="1" x14ac:dyDescent="0.2"/>
    <row r="1033" ht="12.75" customHeight="1" x14ac:dyDescent="0.2"/>
    <row r="1034" ht="12.75" customHeight="1" x14ac:dyDescent="0.2"/>
    <row r="1035" ht="12.75" customHeight="1" x14ac:dyDescent="0.2"/>
    <row r="1036" ht="12.75" customHeight="1" x14ac:dyDescent="0.2"/>
    <row r="1037" ht="12.75" customHeight="1" x14ac:dyDescent="0.2"/>
    <row r="1038" ht="12.75" customHeight="1" x14ac:dyDescent="0.2"/>
    <row r="1039" ht="12.75" customHeight="1" x14ac:dyDescent="0.2"/>
    <row r="1040" ht="12.75" customHeight="1" x14ac:dyDescent="0.2"/>
    <row r="1041" ht="12.75" customHeight="1" x14ac:dyDescent="0.2"/>
    <row r="1042" ht="12.75" customHeight="1" x14ac:dyDescent="0.2"/>
    <row r="1043" ht="12.75" customHeight="1" x14ac:dyDescent="0.2"/>
    <row r="1044" ht="12.75" customHeight="1" x14ac:dyDescent="0.2"/>
    <row r="1045" ht="12.75" customHeight="1" x14ac:dyDescent="0.2"/>
    <row r="1046" ht="12.75" customHeight="1" x14ac:dyDescent="0.2"/>
    <row r="1047" ht="12.75" customHeight="1" x14ac:dyDescent="0.2"/>
    <row r="1048" ht="12.75" customHeight="1" x14ac:dyDescent="0.2"/>
    <row r="1049" ht="12.75" customHeight="1" x14ac:dyDescent="0.2"/>
    <row r="1050" ht="12.75" customHeight="1" x14ac:dyDescent="0.2"/>
    <row r="1051" ht="12.75" customHeight="1" x14ac:dyDescent="0.2"/>
    <row r="1052" ht="12.75" customHeight="1" x14ac:dyDescent="0.2"/>
    <row r="1053" ht="12.75" customHeight="1" x14ac:dyDescent="0.2"/>
    <row r="1054" ht="12.75" customHeight="1" x14ac:dyDescent="0.2"/>
    <row r="1055" ht="12.75" customHeight="1" x14ac:dyDescent="0.2"/>
    <row r="1056" ht="12.75" customHeight="1" x14ac:dyDescent="0.2"/>
    <row r="1057" ht="12.75" customHeight="1" x14ac:dyDescent="0.2"/>
    <row r="1058" ht="12.75" customHeight="1" x14ac:dyDescent="0.2"/>
    <row r="1059" ht="12.75" customHeight="1" x14ac:dyDescent="0.2"/>
    <row r="1060" ht="12.75" customHeight="1" x14ac:dyDescent="0.2"/>
    <row r="1061" ht="12.75" customHeight="1" x14ac:dyDescent="0.2"/>
    <row r="1062" ht="12.75" customHeight="1" x14ac:dyDescent="0.2"/>
    <row r="1063" ht="12.75" customHeight="1" x14ac:dyDescent="0.2"/>
    <row r="1064" ht="12.75" customHeight="1" x14ac:dyDescent="0.2"/>
    <row r="1065" ht="12.75" customHeight="1" x14ac:dyDescent="0.2"/>
    <row r="1066" ht="12.75" customHeight="1" x14ac:dyDescent="0.2"/>
    <row r="1067" ht="12.75" customHeight="1" x14ac:dyDescent="0.2"/>
    <row r="1068" ht="12.75" customHeight="1" x14ac:dyDescent="0.2"/>
    <row r="1069" ht="12.75" customHeight="1" x14ac:dyDescent="0.2"/>
    <row r="1070" ht="12.75" customHeight="1" x14ac:dyDescent="0.2"/>
    <row r="1071" ht="12.75" customHeight="1" x14ac:dyDescent="0.2"/>
    <row r="1072" ht="12.75" customHeight="1" x14ac:dyDescent="0.2"/>
    <row r="1073" ht="12.75" customHeight="1" x14ac:dyDescent="0.2"/>
    <row r="1074" ht="12.75" customHeight="1" x14ac:dyDescent="0.2"/>
    <row r="1075" ht="12.75" customHeight="1" x14ac:dyDescent="0.2"/>
    <row r="1076" ht="12.75" customHeight="1" x14ac:dyDescent="0.2"/>
    <row r="1077" ht="12.75" customHeight="1" x14ac:dyDescent="0.2"/>
    <row r="1078" ht="12.75" customHeight="1" x14ac:dyDescent="0.2"/>
    <row r="1079" ht="12.75" customHeight="1" x14ac:dyDescent="0.2"/>
    <row r="1080" ht="12.75" customHeight="1" x14ac:dyDescent="0.2"/>
    <row r="1081" ht="12.75" customHeight="1" x14ac:dyDescent="0.2"/>
    <row r="1082" ht="12.75" customHeight="1" x14ac:dyDescent="0.2"/>
    <row r="1083" ht="12.75" customHeight="1" x14ac:dyDescent="0.2"/>
    <row r="1084" ht="12.75" customHeight="1" x14ac:dyDescent="0.2"/>
    <row r="1085" ht="12.75" customHeight="1" x14ac:dyDescent="0.2"/>
    <row r="1086" ht="12.75" customHeight="1" x14ac:dyDescent="0.2"/>
    <row r="1087" ht="12.75" customHeight="1" x14ac:dyDescent="0.2"/>
    <row r="1088" ht="12.75" customHeight="1" x14ac:dyDescent="0.2"/>
    <row r="1089" ht="12.75" customHeight="1" x14ac:dyDescent="0.2"/>
    <row r="1090" ht="12.75" customHeight="1" x14ac:dyDescent="0.2"/>
    <row r="1091" ht="12.75" customHeight="1" x14ac:dyDescent="0.2"/>
    <row r="1092" ht="12.75" customHeight="1" x14ac:dyDescent="0.2"/>
    <row r="1093" ht="12.75" customHeight="1" x14ac:dyDescent="0.2"/>
    <row r="1094" ht="12.75" customHeight="1" x14ac:dyDescent="0.2"/>
    <row r="1095" ht="12.75" customHeight="1" x14ac:dyDescent="0.2"/>
    <row r="1096" ht="12.75" customHeight="1" x14ac:dyDescent="0.2"/>
    <row r="1097" ht="12.75" customHeight="1" x14ac:dyDescent="0.2"/>
    <row r="1098" ht="12.75" customHeight="1" x14ac:dyDescent="0.2"/>
    <row r="1099" ht="12.75" customHeight="1" x14ac:dyDescent="0.2"/>
    <row r="1100" ht="12.75" customHeight="1" x14ac:dyDescent="0.2"/>
    <row r="1101" ht="12.75" customHeight="1" x14ac:dyDescent="0.2"/>
    <row r="1102" ht="12.75" customHeight="1" x14ac:dyDescent="0.2"/>
    <row r="1103" ht="12.75" customHeight="1" x14ac:dyDescent="0.2"/>
    <row r="1104" ht="12.75" customHeight="1" x14ac:dyDescent="0.2"/>
    <row r="1105" ht="12.75" customHeight="1" x14ac:dyDescent="0.2"/>
    <row r="1106" ht="12.75" customHeight="1" x14ac:dyDescent="0.2"/>
    <row r="1107" ht="12.75" customHeight="1" x14ac:dyDescent="0.2"/>
    <row r="1108" ht="12.75" customHeight="1" x14ac:dyDescent="0.2"/>
    <row r="1109" ht="12.75" customHeight="1" x14ac:dyDescent="0.2"/>
    <row r="1110" ht="12.75" customHeight="1" x14ac:dyDescent="0.2"/>
    <row r="1111" ht="12.75" customHeight="1" x14ac:dyDescent="0.2"/>
    <row r="1112" ht="12.75" customHeight="1" x14ac:dyDescent="0.2"/>
    <row r="1113" ht="12.75" customHeight="1" x14ac:dyDescent="0.2"/>
    <row r="1114" ht="12.75" customHeight="1" x14ac:dyDescent="0.2"/>
    <row r="1115" ht="12.75" customHeight="1" x14ac:dyDescent="0.2"/>
    <row r="1116" ht="12.75" customHeight="1" x14ac:dyDescent="0.2"/>
    <row r="1117" ht="12.75" customHeight="1" x14ac:dyDescent="0.2"/>
    <row r="1118" ht="12.75" customHeight="1" x14ac:dyDescent="0.2"/>
    <row r="1119" ht="12.75" customHeight="1" x14ac:dyDescent="0.2"/>
    <row r="1120" ht="12.75" customHeight="1" x14ac:dyDescent="0.2"/>
    <row r="1121" ht="12.75" customHeight="1" x14ac:dyDescent="0.2"/>
    <row r="1122" ht="12.75" customHeight="1" x14ac:dyDescent="0.2"/>
    <row r="1123" ht="12.75" customHeight="1" x14ac:dyDescent="0.2"/>
    <row r="1124" ht="12.75" customHeight="1" x14ac:dyDescent="0.2"/>
    <row r="1125" ht="12.75" customHeight="1" x14ac:dyDescent="0.2"/>
    <row r="1126" ht="12.75" customHeight="1" x14ac:dyDescent="0.2"/>
    <row r="1127" ht="12.75" customHeight="1" x14ac:dyDescent="0.2"/>
    <row r="1128" ht="12.75" customHeight="1" x14ac:dyDescent="0.2"/>
    <row r="1129" ht="12.75" customHeight="1" x14ac:dyDescent="0.2"/>
    <row r="1130" ht="12.75" customHeight="1" x14ac:dyDescent="0.2"/>
    <row r="1131" ht="12.75" customHeight="1" x14ac:dyDescent="0.2"/>
    <row r="1132" ht="12.75" customHeight="1" x14ac:dyDescent="0.2"/>
    <row r="1133" ht="12.75" customHeight="1" x14ac:dyDescent="0.2"/>
    <row r="1134" ht="12.75" customHeight="1" x14ac:dyDescent="0.2"/>
    <row r="1135" ht="12.75" customHeight="1" x14ac:dyDescent="0.2"/>
    <row r="1136" ht="12.75" customHeight="1" x14ac:dyDescent="0.2"/>
    <row r="1137" ht="12.75" customHeight="1" x14ac:dyDescent="0.2"/>
    <row r="1138" ht="12.75" customHeight="1" x14ac:dyDescent="0.2"/>
    <row r="1139" ht="12.75" customHeight="1" x14ac:dyDescent="0.2"/>
    <row r="1140" ht="12.75" customHeight="1" x14ac:dyDescent="0.2"/>
    <row r="1141" ht="12.75" customHeight="1" x14ac:dyDescent="0.2"/>
    <row r="1142" ht="12.75" customHeight="1" x14ac:dyDescent="0.2"/>
    <row r="1143" ht="12.75" customHeight="1" x14ac:dyDescent="0.2"/>
    <row r="1144" ht="12.75" customHeight="1" x14ac:dyDescent="0.2"/>
    <row r="1145" ht="12.75" customHeight="1" x14ac:dyDescent="0.2"/>
    <row r="1146" ht="12.75" customHeight="1" x14ac:dyDescent="0.2"/>
    <row r="1147" ht="12.75" customHeight="1" x14ac:dyDescent="0.2"/>
    <row r="1148" ht="12.75" customHeight="1" x14ac:dyDescent="0.2"/>
    <row r="1149" ht="12.75" customHeight="1" x14ac:dyDescent="0.2"/>
    <row r="1150" ht="12.75" customHeight="1" x14ac:dyDescent="0.2"/>
    <row r="1151" ht="12.75" customHeight="1" x14ac:dyDescent="0.2"/>
    <row r="1152" ht="12.75" customHeight="1" x14ac:dyDescent="0.2"/>
    <row r="1153" ht="12.75" customHeight="1" x14ac:dyDescent="0.2"/>
    <row r="1154" ht="12.75" customHeight="1" x14ac:dyDescent="0.2"/>
    <row r="1155" ht="12.75" customHeight="1" x14ac:dyDescent="0.2"/>
    <row r="1156" ht="12.75" customHeight="1" x14ac:dyDescent="0.2"/>
    <row r="1157" ht="12.75" customHeight="1" x14ac:dyDescent="0.2"/>
    <row r="1158" ht="12.75" customHeight="1" x14ac:dyDescent="0.2"/>
    <row r="1159" ht="12.75" customHeight="1" x14ac:dyDescent="0.2"/>
    <row r="1160" ht="12.75" customHeight="1" x14ac:dyDescent="0.2"/>
    <row r="1161" ht="12.75" customHeight="1" x14ac:dyDescent="0.2"/>
    <row r="1162" ht="12.75" customHeight="1" x14ac:dyDescent="0.2"/>
    <row r="1163" ht="12.75" customHeight="1" x14ac:dyDescent="0.2"/>
    <row r="1164" ht="12.75" customHeight="1" x14ac:dyDescent="0.2"/>
    <row r="1165" ht="12.75" customHeight="1" x14ac:dyDescent="0.2"/>
    <row r="1166" ht="12.75" customHeight="1" x14ac:dyDescent="0.2"/>
    <row r="1167" ht="12.75" customHeight="1" x14ac:dyDescent="0.2"/>
    <row r="1168" ht="12.75" customHeight="1" x14ac:dyDescent="0.2"/>
  </sheetData>
  <mergeCells count="28">
    <mergeCell ref="C27:G27"/>
    <mergeCell ref="H3:U3"/>
    <mergeCell ref="E8:G8"/>
    <mergeCell ref="E10:G10"/>
    <mergeCell ref="C13:G13"/>
    <mergeCell ref="E15:G15"/>
    <mergeCell ref="E16:G16"/>
    <mergeCell ref="E17:G17"/>
    <mergeCell ref="E19:G19"/>
    <mergeCell ref="E20:G20"/>
    <mergeCell ref="C24:G24"/>
    <mergeCell ref="A140:U140"/>
    <mergeCell ref="E42:G42"/>
    <mergeCell ref="E45:F45"/>
    <mergeCell ref="C53:G53"/>
    <mergeCell ref="E58:F58"/>
    <mergeCell ref="C81:F81"/>
    <mergeCell ref="E86:G86"/>
    <mergeCell ref="A115:G115"/>
    <mergeCell ref="A118:G118"/>
    <mergeCell ref="A130:G130"/>
    <mergeCell ref="A135:G135"/>
    <mergeCell ref="A138:G138"/>
    <mergeCell ref="A141:U141"/>
    <mergeCell ref="A142:U142"/>
    <mergeCell ref="A143:U143"/>
    <mergeCell ref="A144:U144"/>
    <mergeCell ref="A146:U146"/>
  </mergeCells>
  <pageMargins left="0.7" right="0.7" top="0.75" bottom="0.75" header="0.3" footer="0.3"/>
  <pageSetup paperSize="9" scale="36"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288"/>
  <sheetViews>
    <sheetView view="pageBreakPreview" topLeftCell="D37" zoomScaleNormal="100" zoomScaleSheetLayoutView="100" workbookViewId="0">
      <selection activeCell="BV21" sqref="BV21"/>
    </sheetView>
  </sheetViews>
  <sheetFormatPr defaultRowHeight="12.75" x14ac:dyDescent="0.2"/>
  <cols>
    <col min="1" max="1" width="2.85546875" style="180" customWidth="1"/>
    <col min="2" max="2" width="3.28515625" style="180" customWidth="1"/>
    <col min="3" max="3" width="50.7109375" style="180" customWidth="1"/>
    <col min="4" max="4" width="8.7109375" style="180" customWidth="1"/>
    <col min="5" max="8" width="13.5703125" style="180" hidden="1" customWidth="1"/>
    <col min="9" max="9" width="16.85546875" style="180" customWidth="1"/>
    <col min="10" max="13" width="13.5703125" style="180" hidden="1" customWidth="1"/>
    <col min="14" max="14" width="13.7109375" style="180" customWidth="1"/>
    <col min="15" max="15" width="12.7109375" style="180" hidden="1" customWidth="1"/>
    <col min="16" max="17" width="11.28515625" style="180" hidden="1" customWidth="1"/>
    <col min="18" max="18" width="12.7109375" style="180" hidden="1" customWidth="1"/>
    <col min="19" max="19" width="13.7109375" style="180" customWidth="1"/>
    <col min="20" max="22" width="11.28515625" style="180" hidden="1" customWidth="1"/>
    <col min="23" max="23" width="12.7109375" style="180" hidden="1" customWidth="1"/>
    <col min="24" max="24" width="13.7109375" style="180" customWidth="1"/>
    <col min="25" max="27" width="11.28515625" style="180" hidden="1" customWidth="1"/>
    <col min="28" max="28" width="12.7109375" style="180" hidden="1" customWidth="1"/>
    <col min="29" max="29" width="13.7109375" style="180" customWidth="1"/>
    <col min="30" max="30" width="12.28515625" style="180" hidden="1" customWidth="1"/>
    <col min="31" max="31" width="12.7109375" style="180" hidden="1" customWidth="1"/>
    <col min="32" max="32" width="11.28515625" style="180" hidden="1" customWidth="1"/>
    <col min="33" max="33" width="12.7109375" style="180" hidden="1" customWidth="1"/>
    <col min="34" max="34" width="13.7109375" style="180" customWidth="1"/>
    <col min="35" max="38" width="15.42578125" style="180" hidden="1" customWidth="1"/>
    <col min="39" max="39" width="13.7109375" style="180" customWidth="1"/>
    <col min="40" max="43" width="15.42578125" style="180" hidden="1" customWidth="1"/>
    <col min="44" max="44" width="13.7109375" style="180" customWidth="1"/>
    <col min="45" max="48" width="15.42578125" style="180" hidden="1" customWidth="1"/>
    <col min="49" max="49" width="13.7109375" style="180" customWidth="1"/>
    <col min="50" max="53" width="15.42578125" style="180" hidden="1" customWidth="1"/>
    <col min="54" max="54" width="13.7109375" style="180" customWidth="1"/>
    <col min="55" max="58" width="15.42578125" style="180" hidden="1" customWidth="1"/>
    <col min="59" max="59" width="13.7109375" style="180" customWidth="1"/>
    <col min="60" max="70" width="15.42578125" style="180" hidden="1" customWidth="1"/>
    <col min="71" max="71" width="13.140625" style="180" hidden="1" customWidth="1"/>
    <col min="72" max="72" width="11.28515625" style="180" hidden="1" customWidth="1"/>
    <col min="73" max="73" width="12.7109375" style="180" hidden="1" customWidth="1"/>
    <col min="74" max="74" width="13.7109375" style="180" customWidth="1"/>
    <col min="75" max="75" width="3.28515625" style="180" customWidth="1"/>
    <col min="76" max="76" width="7.85546875" style="180" hidden="1" customWidth="1"/>
    <col min="77" max="77" width="18.5703125" style="179" customWidth="1"/>
    <col min="78" max="78" width="14.85546875" style="178" customWidth="1"/>
    <col min="79" max="79" width="13.7109375" style="263" customWidth="1"/>
    <col min="80" max="80" width="15.140625" style="180" customWidth="1"/>
    <col min="81" max="16384" width="9.140625" style="180"/>
  </cols>
  <sheetData>
    <row r="1" spans="1:80" ht="15.75" x14ac:dyDescent="0.25">
      <c r="A1" s="185" t="s">
        <v>172</v>
      </c>
      <c r="B1" s="184"/>
      <c r="C1" s="183"/>
      <c r="D1" s="182"/>
      <c r="E1" s="181"/>
      <c r="F1" s="183"/>
      <c r="G1" s="183"/>
      <c r="H1" s="183"/>
      <c r="I1" s="183"/>
      <c r="J1" s="183"/>
      <c r="K1" s="183"/>
      <c r="L1" s="183"/>
      <c r="M1" s="183"/>
      <c r="N1" s="183"/>
      <c r="O1" s="183"/>
      <c r="P1" s="183"/>
      <c r="Q1" s="183"/>
      <c r="R1" s="183"/>
      <c r="S1" s="183"/>
      <c r="T1" s="183"/>
      <c r="U1" s="183"/>
      <c r="V1" s="183"/>
      <c r="W1" s="183"/>
      <c r="X1" s="183"/>
      <c r="Y1" s="183"/>
      <c r="Z1" s="183"/>
      <c r="AA1" s="183"/>
      <c r="AB1" s="183"/>
      <c r="AC1" s="183"/>
      <c r="AD1" s="183"/>
      <c r="AE1" s="183"/>
      <c r="AF1" s="183"/>
      <c r="AG1" s="183"/>
      <c r="AH1" s="183"/>
      <c r="AI1" s="183"/>
      <c r="AJ1" s="183"/>
      <c r="AK1" s="183"/>
      <c r="AL1" s="183"/>
      <c r="AM1" s="183"/>
      <c r="AN1" s="183"/>
      <c r="AO1" s="183"/>
      <c r="AP1" s="183"/>
      <c r="AQ1" s="183"/>
      <c r="AR1" s="183"/>
      <c r="AS1" s="183"/>
      <c r="AT1" s="183"/>
      <c r="AU1" s="183"/>
      <c r="AV1" s="183"/>
      <c r="AW1" s="183"/>
      <c r="AX1" s="183"/>
      <c r="AY1" s="183"/>
      <c r="AZ1" s="183"/>
      <c r="BA1" s="183"/>
      <c r="BB1" s="183"/>
      <c r="BC1" s="183"/>
      <c r="BD1" s="183"/>
      <c r="BE1" s="183"/>
      <c r="BF1" s="183"/>
      <c r="BG1" s="183"/>
      <c r="BH1" s="183"/>
      <c r="BI1" s="183"/>
      <c r="BJ1" s="183"/>
      <c r="BK1" s="183"/>
      <c r="BL1" s="183"/>
      <c r="BM1" s="183"/>
      <c r="BN1" s="183"/>
      <c r="BO1" s="183"/>
      <c r="BP1" s="183"/>
      <c r="BQ1" s="183"/>
      <c r="BR1" s="183"/>
      <c r="BS1" s="183"/>
      <c r="BT1" s="183"/>
      <c r="BU1" s="183"/>
      <c r="BV1" s="183"/>
    </row>
    <row r="2" spans="1:80" ht="15" x14ac:dyDescent="0.25">
      <c r="A2" s="177"/>
      <c r="B2" s="182"/>
      <c r="D2" s="176"/>
      <c r="E2" s="624" t="s">
        <v>1</v>
      </c>
      <c r="F2" s="625"/>
      <c r="G2" s="625"/>
      <c r="H2" s="625"/>
      <c r="I2" s="625"/>
      <c r="J2" s="625"/>
      <c r="K2" s="625"/>
      <c r="L2" s="625"/>
      <c r="M2" s="625"/>
      <c r="N2" s="625"/>
      <c r="O2" s="625"/>
      <c r="P2" s="625"/>
      <c r="Q2" s="625"/>
      <c r="R2" s="625"/>
      <c r="S2" s="625"/>
      <c r="T2" s="625"/>
      <c r="U2" s="625"/>
      <c r="V2" s="625"/>
      <c r="W2" s="625"/>
      <c r="X2" s="625"/>
      <c r="Y2" s="625"/>
      <c r="Z2" s="625"/>
      <c r="AA2" s="625"/>
      <c r="AB2" s="625"/>
      <c r="AC2" s="625"/>
      <c r="AD2" s="625"/>
      <c r="AE2" s="625"/>
      <c r="AF2" s="625"/>
      <c r="AG2" s="625"/>
      <c r="AH2" s="625"/>
      <c r="AI2" s="625"/>
      <c r="AJ2" s="625"/>
      <c r="AK2" s="625"/>
      <c r="AL2" s="625"/>
      <c r="AM2" s="625"/>
      <c r="AN2" s="625"/>
      <c r="AO2" s="625"/>
      <c r="AP2" s="625"/>
      <c r="AQ2" s="625"/>
      <c r="AR2" s="625"/>
      <c r="AS2" s="625"/>
      <c r="AT2" s="625"/>
      <c r="AU2" s="625"/>
      <c r="AV2" s="625"/>
      <c r="AW2" s="625"/>
      <c r="AX2" s="625"/>
      <c r="AY2" s="625"/>
      <c r="AZ2" s="625"/>
      <c r="BA2" s="625"/>
      <c r="BB2" s="625"/>
      <c r="BC2" s="625"/>
      <c r="BD2" s="625"/>
      <c r="BE2" s="625"/>
      <c r="BF2" s="625"/>
      <c r="BG2" s="625"/>
      <c r="BH2" s="625"/>
      <c r="BI2" s="625"/>
      <c r="BJ2" s="625"/>
      <c r="BK2" s="625"/>
      <c r="BL2" s="625"/>
      <c r="BM2" s="625"/>
      <c r="BN2" s="625"/>
      <c r="BO2" s="625"/>
      <c r="BP2" s="625"/>
      <c r="BQ2" s="625"/>
      <c r="BR2" s="625"/>
      <c r="BS2" s="625"/>
      <c r="BT2" s="625"/>
      <c r="BU2" s="625"/>
      <c r="BV2" s="626"/>
      <c r="BW2" s="175"/>
      <c r="BZ2" s="174"/>
    </row>
    <row r="3" spans="1:80" ht="15" x14ac:dyDescent="0.25">
      <c r="A3" s="173"/>
      <c r="B3" s="182"/>
      <c r="C3" s="180" t="s">
        <v>173</v>
      </c>
      <c r="D3" s="172"/>
      <c r="E3" s="621" t="s">
        <v>174</v>
      </c>
      <c r="F3" s="622"/>
      <c r="G3" s="622"/>
      <c r="H3" s="622"/>
      <c r="I3" s="623"/>
      <c r="J3" s="621" t="s">
        <v>4</v>
      </c>
      <c r="K3" s="622"/>
      <c r="L3" s="622"/>
      <c r="M3" s="622"/>
      <c r="N3" s="623"/>
      <c r="O3" s="627" t="s">
        <v>5</v>
      </c>
      <c r="P3" s="622"/>
      <c r="Q3" s="622"/>
      <c r="R3" s="622"/>
      <c r="S3" s="623"/>
      <c r="T3" s="621" t="s">
        <v>6</v>
      </c>
      <c r="U3" s="622"/>
      <c r="V3" s="622"/>
      <c r="W3" s="622"/>
      <c r="X3" s="623"/>
      <c r="Y3" s="621" t="s">
        <v>7</v>
      </c>
      <c r="Z3" s="622"/>
      <c r="AA3" s="622"/>
      <c r="AB3" s="622"/>
      <c r="AC3" s="623"/>
      <c r="AD3" s="621" t="s">
        <v>8</v>
      </c>
      <c r="AE3" s="622"/>
      <c r="AF3" s="622"/>
      <c r="AG3" s="622"/>
      <c r="AH3" s="623"/>
      <c r="AI3" s="621" t="s">
        <v>9</v>
      </c>
      <c r="AJ3" s="622"/>
      <c r="AK3" s="622"/>
      <c r="AL3" s="622"/>
      <c r="AM3" s="623"/>
      <c r="AN3" s="621" t="s">
        <v>10</v>
      </c>
      <c r="AO3" s="622"/>
      <c r="AP3" s="622"/>
      <c r="AQ3" s="622"/>
      <c r="AR3" s="623"/>
      <c r="AS3" s="621" t="s">
        <v>11</v>
      </c>
      <c r="AT3" s="622"/>
      <c r="AU3" s="622"/>
      <c r="AV3" s="622"/>
      <c r="AW3" s="623"/>
      <c r="AX3" s="621" t="s">
        <v>12</v>
      </c>
      <c r="AY3" s="622"/>
      <c r="AZ3" s="622"/>
      <c r="BA3" s="622"/>
      <c r="BB3" s="623"/>
      <c r="BC3" s="621" t="s">
        <v>13</v>
      </c>
      <c r="BD3" s="622"/>
      <c r="BE3" s="622"/>
      <c r="BF3" s="622"/>
      <c r="BG3" s="623"/>
      <c r="BH3" s="621" t="s">
        <v>14</v>
      </c>
      <c r="BI3" s="622"/>
      <c r="BJ3" s="622"/>
      <c r="BK3" s="622"/>
      <c r="BL3" s="623"/>
      <c r="BM3" s="621" t="s">
        <v>15</v>
      </c>
      <c r="BN3" s="622"/>
      <c r="BO3" s="622"/>
      <c r="BP3" s="622"/>
      <c r="BQ3" s="623"/>
      <c r="BR3" s="621" t="s">
        <v>16</v>
      </c>
      <c r="BS3" s="622"/>
      <c r="BT3" s="622"/>
      <c r="BU3" s="622"/>
      <c r="BV3" s="628"/>
      <c r="BW3" s="171"/>
      <c r="BX3" s="171"/>
    </row>
    <row r="4" spans="1:80" x14ac:dyDescent="0.2">
      <c r="A4" s="173"/>
      <c r="B4" s="182"/>
      <c r="D4" s="172"/>
      <c r="E4" s="187" t="s">
        <v>175</v>
      </c>
      <c r="F4" s="188" t="s">
        <v>176</v>
      </c>
      <c r="G4" s="188" t="s">
        <v>177</v>
      </c>
      <c r="H4" s="188" t="s">
        <v>178</v>
      </c>
      <c r="I4" s="189" t="s">
        <v>179</v>
      </c>
      <c r="J4" s="187" t="s">
        <v>175</v>
      </c>
      <c r="K4" s="188" t="s">
        <v>176</v>
      </c>
      <c r="L4" s="188" t="s">
        <v>177</v>
      </c>
      <c r="M4" s="188" t="s">
        <v>178</v>
      </c>
      <c r="N4" s="190" t="s">
        <v>179</v>
      </c>
      <c r="O4" s="188" t="s">
        <v>175</v>
      </c>
      <c r="P4" s="188" t="s">
        <v>176</v>
      </c>
      <c r="Q4" s="188" t="s">
        <v>177</v>
      </c>
      <c r="R4" s="188" t="s">
        <v>178</v>
      </c>
      <c r="S4" s="190" t="s">
        <v>179</v>
      </c>
      <c r="T4" s="187" t="s">
        <v>175</v>
      </c>
      <c r="U4" s="188" t="s">
        <v>176</v>
      </c>
      <c r="V4" s="188" t="s">
        <v>177</v>
      </c>
      <c r="W4" s="188" t="s">
        <v>178</v>
      </c>
      <c r="X4" s="190" t="s">
        <v>179</v>
      </c>
      <c r="Y4" s="187" t="s">
        <v>175</v>
      </c>
      <c r="Z4" s="188" t="s">
        <v>176</v>
      </c>
      <c r="AA4" s="188" t="s">
        <v>177</v>
      </c>
      <c r="AB4" s="188" t="s">
        <v>178</v>
      </c>
      <c r="AC4" s="190" t="s">
        <v>179</v>
      </c>
      <c r="AD4" s="187" t="s">
        <v>175</v>
      </c>
      <c r="AE4" s="188" t="s">
        <v>176</v>
      </c>
      <c r="AF4" s="188" t="s">
        <v>177</v>
      </c>
      <c r="AG4" s="188" t="s">
        <v>178</v>
      </c>
      <c r="AH4" s="190" t="s">
        <v>179</v>
      </c>
      <c r="AI4" s="187" t="s">
        <v>175</v>
      </c>
      <c r="AJ4" s="188" t="s">
        <v>176</v>
      </c>
      <c r="AK4" s="188" t="s">
        <v>177</v>
      </c>
      <c r="AL4" s="188" t="s">
        <v>178</v>
      </c>
      <c r="AM4" s="190" t="s">
        <v>179</v>
      </c>
      <c r="AN4" s="187" t="s">
        <v>175</v>
      </c>
      <c r="AO4" s="188" t="s">
        <v>176</v>
      </c>
      <c r="AP4" s="188" t="s">
        <v>177</v>
      </c>
      <c r="AQ4" s="188" t="s">
        <v>178</v>
      </c>
      <c r="AR4" s="190" t="s">
        <v>179</v>
      </c>
      <c r="AS4" s="187" t="s">
        <v>175</v>
      </c>
      <c r="AT4" s="188" t="s">
        <v>176</v>
      </c>
      <c r="AU4" s="188" t="s">
        <v>177</v>
      </c>
      <c r="AV4" s="188" t="s">
        <v>178</v>
      </c>
      <c r="AW4" s="190" t="s">
        <v>179</v>
      </c>
      <c r="AX4" s="187" t="s">
        <v>175</v>
      </c>
      <c r="AY4" s="188" t="s">
        <v>176</v>
      </c>
      <c r="AZ4" s="188" t="s">
        <v>177</v>
      </c>
      <c r="BA4" s="188" t="s">
        <v>178</v>
      </c>
      <c r="BB4" s="190" t="s">
        <v>179</v>
      </c>
      <c r="BC4" s="187" t="s">
        <v>175</v>
      </c>
      <c r="BD4" s="188" t="s">
        <v>176</v>
      </c>
      <c r="BE4" s="188" t="s">
        <v>177</v>
      </c>
      <c r="BF4" s="188" t="s">
        <v>178</v>
      </c>
      <c r="BG4" s="190" t="s">
        <v>179</v>
      </c>
      <c r="BH4" s="187" t="s">
        <v>175</v>
      </c>
      <c r="BI4" s="188" t="s">
        <v>176</v>
      </c>
      <c r="BJ4" s="188" t="s">
        <v>177</v>
      </c>
      <c r="BK4" s="188" t="s">
        <v>180</v>
      </c>
      <c r="BL4" s="190" t="s">
        <v>179</v>
      </c>
      <c r="BM4" s="187" t="s">
        <v>175</v>
      </c>
      <c r="BN4" s="188" t="s">
        <v>176</v>
      </c>
      <c r="BO4" s="188" t="s">
        <v>177</v>
      </c>
      <c r="BP4" s="188" t="s">
        <v>178</v>
      </c>
      <c r="BQ4" s="190" t="s">
        <v>179</v>
      </c>
      <c r="BR4" s="187" t="s">
        <v>175</v>
      </c>
      <c r="BS4" s="188" t="s">
        <v>176</v>
      </c>
      <c r="BT4" s="188" t="s">
        <v>177</v>
      </c>
      <c r="BU4" s="188" t="s">
        <v>178</v>
      </c>
      <c r="BV4" s="191" t="s">
        <v>179</v>
      </c>
      <c r="BW4" s="175"/>
      <c r="BX4" s="171"/>
    </row>
    <row r="5" spans="1:80" x14ac:dyDescent="0.2">
      <c r="A5" s="192" t="s">
        <v>17</v>
      </c>
      <c r="B5" s="193"/>
      <c r="C5" s="193"/>
      <c r="D5" s="194"/>
      <c r="E5" s="195" t="s">
        <v>181</v>
      </c>
      <c r="F5" s="196" t="s">
        <v>182</v>
      </c>
      <c r="G5" s="196" t="s">
        <v>183</v>
      </c>
      <c r="H5" s="196" t="s">
        <v>184</v>
      </c>
      <c r="I5" s="197"/>
      <c r="J5" s="195" t="s">
        <v>181</v>
      </c>
      <c r="K5" s="196" t="s">
        <v>182</v>
      </c>
      <c r="L5" s="196" t="s">
        <v>183</v>
      </c>
      <c r="M5" s="196" t="s">
        <v>184</v>
      </c>
      <c r="N5" s="197"/>
      <c r="O5" s="196" t="s">
        <v>181</v>
      </c>
      <c r="P5" s="196" t="s">
        <v>182</v>
      </c>
      <c r="Q5" s="196" t="s">
        <v>183</v>
      </c>
      <c r="R5" s="196" t="s">
        <v>184</v>
      </c>
      <c r="S5" s="197"/>
      <c r="T5" s="195" t="s">
        <v>181</v>
      </c>
      <c r="U5" s="196" t="s">
        <v>182</v>
      </c>
      <c r="V5" s="196" t="s">
        <v>183</v>
      </c>
      <c r="W5" s="196" t="s">
        <v>184</v>
      </c>
      <c r="X5" s="197"/>
      <c r="Y5" s="195" t="s">
        <v>181</v>
      </c>
      <c r="Z5" s="196" t="s">
        <v>182</v>
      </c>
      <c r="AA5" s="196" t="s">
        <v>183</v>
      </c>
      <c r="AB5" s="196" t="s">
        <v>184</v>
      </c>
      <c r="AC5" s="197"/>
      <c r="AD5" s="195" t="s">
        <v>181</v>
      </c>
      <c r="AE5" s="196" t="s">
        <v>182</v>
      </c>
      <c r="AF5" s="196" t="s">
        <v>183</v>
      </c>
      <c r="AG5" s="196" t="s">
        <v>184</v>
      </c>
      <c r="AH5" s="197"/>
      <c r="AI5" s="195" t="s">
        <v>181</v>
      </c>
      <c r="AJ5" s="196" t="s">
        <v>182</v>
      </c>
      <c r="AK5" s="196" t="s">
        <v>183</v>
      </c>
      <c r="AL5" s="196" t="s">
        <v>184</v>
      </c>
      <c r="AM5" s="197"/>
      <c r="AN5" s="195" t="s">
        <v>181</v>
      </c>
      <c r="AO5" s="196" t="s">
        <v>182</v>
      </c>
      <c r="AP5" s="196" t="s">
        <v>183</v>
      </c>
      <c r="AQ5" s="196" t="s">
        <v>184</v>
      </c>
      <c r="AR5" s="197"/>
      <c r="AS5" s="195" t="s">
        <v>181</v>
      </c>
      <c r="AT5" s="196" t="s">
        <v>182</v>
      </c>
      <c r="AU5" s="196" t="s">
        <v>183</v>
      </c>
      <c r="AV5" s="196" t="s">
        <v>184</v>
      </c>
      <c r="AW5" s="197"/>
      <c r="AX5" s="195" t="s">
        <v>181</v>
      </c>
      <c r="AY5" s="196" t="s">
        <v>182</v>
      </c>
      <c r="AZ5" s="196" t="s">
        <v>183</v>
      </c>
      <c r="BA5" s="196" t="s">
        <v>184</v>
      </c>
      <c r="BB5" s="197"/>
      <c r="BC5" s="195" t="s">
        <v>181</v>
      </c>
      <c r="BD5" s="196" t="s">
        <v>182</v>
      </c>
      <c r="BE5" s="196" t="s">
        <v>183</v>
      </c>
      <c r="BF5" s="196" t="s">
        <v>184</v>
      </c>
      <c r="BG5" s="197"/>
      <c r="BH5" s="195" t="s">
        <v>181</v>
      </c>
      <c r="BI5" s="196" t="s">
        <v>182</v>
      </c>
      <c r="BJ5" s="196" t="s">
        <v>183</v>
      </c>
      <c r="BK5" s="196" t="s">
        <v>184</v>
      </c>
      <c r="BL5" s="197"/>
      <c r="BM5" s="195" t="s">
        <v>181</v>
      </c>
      <c r="BN5" s="196" t="s">
        <v>182</v>
      </c>
      <c r="BO5" s="196" t="s">
        <v>183</v>
      </c>
      <c r="BP5" s="196" t="s">
        <v>184</v>
      </c>
      <c r="BQ5" s="197"/>
      <c r="BR5" s="195" t="s">
        <v>181</v>
      </c>
      <c r="BS5" s="196" t="s">
        <v>182</v>
      </c>
      <c r="BT5" s="196" t="s">
        <v>183</v>
      </c>
      <c r="BU5" s="196" t="s">
        <v>184</v>
      </c>
      <c r="BV5" s="195"/>
      <c r="BW5" s="175"/>
      <c r="BX5" s="198"/>
    </row>
    <row r="6" spans="1:80" x14ac:dyDescent="0.2">
      <c r="A6" s="199"/>
      <c r="B6" s="182"/>
      <c r="D6" s="188"/>
      <c r="E6" s="200"/>
      <c r="F6" s="188"/>
      <c r="G6" s="188"/>
      <c r="H6" s="188"/>
      <c r="I6" s="201"/>
      <c r="J6" s="187"/>
      <c r="K6" s="188"/>
      <c r="L6" s="188"/>
      <c r="M6" s="188"/>
      <c r="N6" s="201"/>
      <c r="O6" s="188"/>
      <c r="P6" s="188"/>
      <c r="Q6" s="188"/>
      <c r="R6" s="188"/>
      <c r="S6" s="201"/>
      <c r="T6" s="187"/>
      <c r="U6" s="188"/>
      <c r="V6" s="188"/>
      <c r="W6" s="188"/>
      <c r="X6" s="201"/>
      <c r="Y6" s="187"/>
      <c r="Z6" s="188"/>
      <c r="AA6" s="188"/>
      <c r="AB6" s="188"/>
      <c r="AC6" s="201"/>
      <c r="AD6" s="187"/>
      <c r="AE6" s="188"/>
      <c r="AF6" s="188"/>
      <c r="AG6" s="188"/>
      <c r="AH6" s="201"/>
      <c r="AI6" s="187"/>
      <c r="AJ6" s="188"/>
      <c r="AK6" s="188"/>
      <c r="AL6" s="188"/>
      <c r="AM6" s="201"/>
      <c r="AN6" s="187"/>
      <c r="AO6" s="188"/>
      <c r="AP6" s="188"/>
      <c r="AQ6" s="188"/>
      <c r="AR6" s="201"/>
      <c r="AS6" s="187"/>
      <c r="AT6" s="188"/>
      <c r="AU6" s="188"/>
      <c r="AV6" s="188"/>
      <c r="AW6" s="201"/>
      <c r="AX6" s="187"/>
      <c r="AY6" s="188"/>
      <c r="AZ6" s="188"/>
      <c r="BA6" s="188"/>
      <c r="BB6" s="201"/>
      <c r="BC6" s="187"/>
      <c r="BD6" s="188"/>
      <c r="BE6" s="188"/>
      <c r="BF6" s="188"/>
      <c r="BG6" s="201"/>
      <c r="BH6" s="187"/>
      <c r="BI6" s="188"/>
      <c r="BJ6" s="188"/>
      <c r="BK6" s="188"/>
      <c r="BL6" s="201"/>
      <c r="BM6" s="187"/>
      <c r="BN6" s="188"/>
      <c r="BO6" s="188"/>
      <c r="BP6" s="188"/>
      <c r="BQ6" s="201"/>
      <c r="BR6" s="187"/>
      <c r="BS6" s="188"/>
      <c r="BT6" s="188"/>
      <c r="BU6" s="188"/>
      <c r="BV6" s="187"/>
      <c r="BW6" s="175"/>
      <c r="BX6" s="171"/>
    </row>
    <row r="7" spans="1:80" ht="13.5" customHeight="1" x14ac:dyDescent="0.25">
      <c r="A7" s="202">
        <v>1</v>
      </c>
      <c r="B7" s="203" t="s">
        <v>185</v>
      </c>
      <c r="D7" s="204"/>
      <c r="E7" s="66">
        <v>558651</v>
      </c>
      <c r="F7" s="65">
        <v>692</v>
      </c>
      <c r="G7" s="65">
        <v>13577</v>
      </c>
      <c r="H7" s="65">
        <v>0</v>
      </c>
      <c r="I7" s="39">
        <v>572920</v>
      </c>
      <c r="J7" s="41">
        <v>28919</v>
      </c>
      <c r="K7" s="43">
        <v>0</v>
      </c>
      <c r="L7" s="43">
        <v>956</v>
      </c>
      <c r="M7" s="43">
        <v>0</v>
      </c>
      <c r="N7" s="39">
        <v>29875</v>
      </c>
      <c r="O7" s="43">
        <v>29267</v>
      </c>
      <c r="P7" s="43">
        <v>0</v>
      </c>
      <c r="Q7" s="43">
        <v>1524</v>
      </c>
      <c r="R7" s="43">
        <v>0</v>
      </c>
      <c r="S7" s="39">
        <v>30791</v>
      </c>
      <c r="T7" s="41">
        <v>31665</v>
      </c>
      <c r="U7" s="43">
        <v>22</v>
      </c>
      <c r="V7" s="43">
        <v>1020</v>
      </c>
      <c r="W7" s="43">
        <v>0</v>
      </c>
      <c r="X7" s="39">
        <v>32707</v>
      </c>
      <c r="Y7" s="41">
        <v>41265</v>
      </c>
      <c r="Z7" s="43">
        <v>10</v>
      </c>
      <c r="AA7" s="43">
        <v>1229</v>
      </c>
      <c r="AB7" s="43">
        <v>0</v>
      </c>
      <c r="AC7" s="39">
        <v>42504</v>
      </c>
      <c r="AD7" s="41">
        <v>58277</v>
      </c>
      <c r="AE7" s="43">
        <v>320</v>
      </c>
      <c r="AF7" s="43">
        <v>1572</v>
      </c>
      <c r="AG7" s="43">
        <v>0</v>
      </c>
      <c r="AH7" s="39">
        <v>60169</v>
      </c>
      <c r="AI7" s="41">
        <v>33417</v>
      </c>
      <c r="AJ7" s="43">
        <v>137</v>
      </c>
      <c r="AK7" s="43">
        <v>1192</v>
      </c>
      <c r="AL7" s="43">
        <v>0</v>
      </c>
      <c r="AM7" s="39">
        <v>34746</v>
      </c>
      <c r="AN7" s="41">
        <v>31289</v>
      </c>
      <c r="AO7" s="43">
        <v>437</v>
      </c>
      <c r="AP7" s="43">
        <v>1460</v>
      </c>
      <c r="AQ7" s="43">
        <v>0</v>
      </c>
      <c r="AR7" s="39">
        <v>33186</v>
      </c>
      <c r="AS7" s="41">
        <v>31876</v>
      </c>
      <c r="AT7" s="43">
        <v>65</v>
      </c>
      <c r="AU7" s="43">
        <v>1223</v>
      </c>
      <c r="AV7" s="43">
        <v>0</v>
      </c>
      <c r="AW7" s="39">
        <v>33164</v>
      </c>
      <c r="AX7" s="41">
        <v>30576</v>
      </c>
      <c r="AY7" s="43">
        <v>163</v>
      </c>
      <c r="AZ7" s="43">
        <v>3548</v>
      </c>
      <c r="BA7" s="43">
        <v>0</v>
      </c>
      <c r="BB7" s="39">
        <v>34287</v>
      </c>
      <c r="BC7" s="41">
        <v>32285</v>
      </c>
      <c r="BD7" s="43">
        <v>2114</v>
      </c>
      <c r="BE7" s="43">
        <v>2749</v>
      </c>
      <c r="BF7" s="43">
        <v>0</v>
      </c>
      <c r="BG7" s="39">
        <v>37148</v>
      </c>
      <c r="BH7" s="41">
        <v>0</v>
      </c>
      <c r="BI7" s="43">
        <v>0</v>
      </c>
      <c r="BJ7" s="43">
        <v>0</v>
      </c>
      <c r="BK7" s="43">
        <v>0</v>
      </c>
      <c r="BL7" s="39">
        <v>0</v>
      </c>
      <c r="BM7" s="41">
        <v>0</v>
      </c>
      <c r="BN7" s="43">
        <v>0</v>
      </c>
      <c r="BO7" s="43">
        <v>0</v>
      </c>
      <c r="BP7" s="43">
        <v>0</v>
      </c>
      <c r="BQ7" s="39">
        <v>0</v>
      </c>
      <c r="BR7" s="41">
        <v>348836</v>
      </c>
      <c r="BS7" s="65">
        <v>3268</v>
      </c>
      <c r="BT7" s="43">
        <v>16473</v>
      </c>
      <c r="BU7" s="43">
        <v>0</v>
      </c>
      <c r="BV7" s="41">
        <v>368577</v>
      </c>
      <c r="BW7" s="205"/>
      <c r="BX7" s="206"/>
      <c r="CA7" s="264"/>
      <c r="CB7" s="1"/>
    </row>
    <row r="8" spans="1:80" ht="13.5" x14ac:dyDescent="0.25">
      <c r="A8" s="202">
        <v>2</v>
      </c>
      <c r="B8" s="203" t="s">
        <v>186</v>
      </c>
      <c r="D8" s="207" t="s">
        <v>57</v>
      </c>
      <c r="E8" s="66">
        <v>1547843</v>
      </c>
      <c r="F8" s="65">
        <v>454186</v>
      </c>
      <c r="G8" s="65">
        <v>13816</v>
      </c>
      <c r="H8" s="65">
        <v>0</v>
      </c>
      <c r="I8" s="39">
        <v>2015845</v>
      </c>
      <c r="J8" s="41">
        <v>140445</v>
      </c>
      <c r="K8" s="43">
        <v>120322</v>
      </c>
      <c r="L8" s="43">
        <v>1150</v>
      </c>
      <c r="M8" s="43">
        <v>0</v>
      </c>
      <c r="N8" s="39">
        <v>261917</v>
      </c>
      <c r="O8" s="43">
        <v>140443</v>
      </c>
      <c r="P8" s="43">
        <v>0</v>
      </c>
      <c r="Q8" s="43">
        <v>1152</v>
      </c>
      <c r="R8" s="43">
        <v>0</v>
      </c>
      <c r="S8" s="39">
        <v>141595</v>
      </c>
      <c r="T8" s="41">
        <v>140444</v>
      </c>
      <c r="U8" s="43">
        <v>0</v>
      </c>
      <c r="V8" s="43">
        <v>1151</v>
      </c>
      <c r="W8" s="43">
        <v>0</v>
      </c>
      <c r="X8" s="39">
        <v>141595</v>
      </c>
      <c r="Y8" s="41">
        <v>140444</v>
      </c>
      <c r="Z8" s="43">
        <v>120322</v>
      </c>
      <c r="AA8" s="43">
        <v>1151</v>
      </c>
      <c r="AB8" s="43">
        <v>0</v>
      </c>
      <c r="AC8" s="39">
        <v>261917</v>
      </c>
      <c r="AD8" s="41">
        <v>140444</v>
      </c>
      <c r="AE8" s="43">
        <v>0</v>
      </c>
      <c r="AF8" s="43">
        <v>1151</v>
      </c>
      <c r="AG8" s="43">
        <v>0</v>
      </c>
      <c r="AH8" s="39">
        <v>141595</v>
      </c>
      <c r="AI8" s="41">
        <v>140444</v>
      </c>
      <c r="AJ8" s="43">
        <v>0</v>
      </c>
      <c r="AK8" s="43">
        <v>1151</v>
      </c>
      <c r="AL8" s="43">
        <v>0</v>
      </c>
      <c r="AM8" s="39">
        <v>141595</v>
      </c>
      <c r="AN8" s="41">
        <v>127144</v>
      </c>
      <c r="AO8" s="43">
        <v>120322</v>
      </c>
      <c r="AP8" s="43">
        <v>1151</v>
      </c>
      <c r="AQ8" s="43">
        <v>0</v>
      </c>
      <c r="AR8" s="39">
        <v>248617</v>
      </c>
      <c r="AS8" s="41">
        <v>127144</v>
      </c>
      <c r="AT8" s="43">
        <v>0</v>
      </c>
      <c r="AU8" s="43">
        <v>1151</v>
      </c>
      <c r="AV8" s="43">
        <v>0</v>
      </c>
      <c r="AW8" s="39">
        <v>128295</v>
      </c>
      <c r="AX8" s="41">
        <v>127144</v>
      </c>
      <c r="AY8" s="43">
        <v>0</v>
      </c>
      <c r="AZ8" s="43">
        <v>1151</v>
      </c>
      <c r="BA8" s="43">
        <v>0</v>
      </c>
      <c r="BB8" s="39">
        <v>128295</v>
      </c>
      <c r="BC8" s="41">
        <v>107035</v>
      </c>
      <c r="BD8" s="43">
        <v>93220</v>
      </c>
      <c r="BE8" s="43">
        <v>1150</v>
      </c>
      <c r="BF8" s="43">
        <v>0</v>
      </c>
      <c r="BG8" s="39">
        <v>201405</v>
      </c>
      <c r="BH8" s="41">
        <v>0</v>
      </c>
      <c r="BI8" s="43">
        <v>0</v>
      </c>
      <c r="BJ8" s="43">
        <v>0</v>
      </c>
      <c r="BK8" s="43">
        <v>0</v>
      </c>
      <c r="BL8" s="39">
        <v>0</v>
      </c>
      <c r="BM8" s="41">
        <v>0</v>
      </c>
      <c r="BN8" s="43">
        <v>0</v>
      </c>
      <c r="BO8" s="43">
        <v>0</v>
      </c>
      <c r="BP8" s="43">
        <v>0</v>
      </c>
      <c r="BQ8" s="39">
        <v>0</v>
      </c>
      <c r="BR8" s="41">
        <v>1331131</v>
      </c>
      <c r="BS8" s="65">
        <v>454186</v>
      </c>
      <c r="BT8" s="43">
        <v>11509</v>
      </c>
      <c r="BU8" s="43">
        <v>0</v>
      </c>
      <c r="BV8" s="41">
        <v>1796826</v>
      </c>
      <c r="BW8" s="9"/>
      <c r="BX8" s="208"/>
      <c r="CA8" s="264"/>
      <c r="CB8" s="1"/>
    </row>
    <row r="9" spans="1:80" ht="13.5" x14ac:dyDescent="0.25">
      <c r="A9" s="202">
        <v>3</v>
      </c>
      <c r="B9" s="203" t="s">
        <v>187</v>
      </c>
      <c r="D9" s="207"/>
      <c r="E9" s="66">
        <v>4824854</v>
      </c>
      <c r="F9" s="65">
        <v>102097615</v>
      </c>
      <c r="G9" s="65">
        <v>20318</v>
      </c>
      <c r="H9" s="65">
        <v>0</v>
      </c>
      <c r="I9" s="39">
        <v>106942787</v>
      </c>
      <c r="J9" s="41">
        <v>267863</v>
      </c>
      <c r="K9" s="43">
        <v>73</v>
      </c>
      <c r="L9" s="43">
        <v>13</v>
      </c>
      <c r="M9" s="43">
        <v>5</v>
      </c>
      <c r="N9" s="39">
        <v>267954</v>
      </c>
      <c r="O9" s="43">
        <v>58517</v>
      </c>
      <c r="P9" s="43">
        <v>260946</v>
      </c>
      <c r="Q9" s="43">
        <v>14</v>
      </c>
      <c r="R9" s="43">
        <v>0</v>
      </c>
      <c r="S9" s="39">
        <v>319477</v>
      </c>
      <c r="T9" s="41">
        <v>267666</v>
      </c>
      <c r="U9" s="43">
        <v>8799</v>
      </c>
      <c r="V9" s="43">
        <v>0</v>
      </c>
      <c r="W9" s="43">
        <v>0</v>
      </c>
      <c r="X9" s="39">
        <v>276465</v>
      </c>
      <c r="Y9" s="41">
        <v>268985</v>
      </c>
      <c r="Z9" s="43">
        <v>33569045</v>
      </c>
      <c r="AA9" s="43">
        <v>55</v>
      </c>
      <c r="AB9" s="43">
        <v>1</v>
      </c>
      <c r="AC9" s="39">
        <v>33838086</v>
      </c>
      <c r="AD9" s="41">
        <v>501753</v>
      </c>
      <c r="AE9" s="43">
        <v>3324135</v>
      </c>
      <c r="AF9" s="43">
        <v>1062</v>
      </c>
      <c r="AG9" s="43">
        <v>0</v>
      </c>
      <c r="AH9" s="39">
        <v>3826950</v>
      </c>
      <c r="AI9" s="41">
        <v>287532</v>
      </c>
      <c r="AJ9" s="43">
        <v>2393724</v>
      </c>
      <c r="AK9" s="43">
        <v>561</v>
      </c>
      <c r="AL9" s="43">
        <v>0</v>
      </c>
      <c r="AM9" s="39">
        <v>2681817</v>
      </c>
      <c r="AN9" s="41">
        <v>183401</v>
      </c>
      <c r="AO9" s="43">
        <v>558388</v>
      </c>
      <c r="AP9" s="43">
        <v>14792</v>
      </c>
      <c r="AQ9" s="43">
        <v>0</v>
      </c>
      <c r="AR9" s="39">
        <v>756581</v>
      </c>
      <c r="AS9" s="41">
        <v>526395</v>
      </c>
      <c r="AT9" s="43">
        <v>609460</v>
      </c>
      <c r="AU9" s="43">
        <v>4629</v>
      </c>
      <c r="AV9" s="43">
        <v>0</v>
      </c>
      <c r="AW9" s="39">
        <v>1140484</v>
      </c>
      <c r="AX9" s="41">
        <v>403355</v>
      </c>
      <c r="AY9" s="43">
        <v>33392063</v>
      </c>
      <c r="AZ9" s="43">
        <v>1598</v>
      </c>
      <c r="BA9" s="43">
        <v>0</v>
      </c>
      <c r="BB9" s="39">
        <v>33797016</v>
      </c>
      <c r="BC9" s="41">
        <v>404824</v>
      </c>
      <c r="BD9" s="43">
        <v>265804</v>
      </c>
      <c r="BE9" s="43">
        <v>4124</v>
      </c>
      <c r="BF9" s="43">
        <v>18</v>
      </c>
      <c r="BG9" s="39">
        <v>674770</v>
      </c>
      <c r="BH9" s="41">
        <v>0</v>
      </c>
      <c r="BI9" s="43">
        <v>0</v>
      </c>
      <c r="BJ9" s="43">
        <v>0</v>
      </c>
      <c r="BK9" s="43">
        <v>0</v>
      </c>
      <c r="BL9" s="39">
        <v>0</v>
      </c>
      <c r="BM9" s="41">
        <v>0</v>
      </c>
      <c r="BN9" s="43">
        <v>0</v>
      </c>
      <c r="BO9" s="43">
        <v>0</v>
      </c>
      <c r="BP9" s="43">
        <v>0</v>
      </c>
      <c r="BQ9" s="39">
        <v>0</v>
      </c>
      <c r="BR9" s="41">
        <v>3170291</v>
      </c>
      <c r="BS9" s="65">
        <v>74382437</v>
      </c>
      <c r="BT9" s="43">
        <v>26848</v>
      </c>
      <c r="BU9" s="43">
        <v>24</v>
      </c>
      <c r="BV9" s="41">
        <v>77579600</v>
      </c>
      <c r="BW9" s="9"/>
      <c r="BX9" s="206"/>
      <c r="CA9" s="264"/>
      <c r="CB9" s="1"/>
    </row>
    <row r="10" spans="1:80" ht="13.5" x14ac:dyDescent="0.25">
      <c r="A10" s="202">
        <v>4</v>
      </c>
      <c r="B10" s="203" t="s">
        <v>188</v>
      </c>
      <c r="D10" s="207"/>
      <c r="E10" s="66">
        <v>506637</v>
      </c>
      <c r="F10" s="65">
        <v>213125</v>
      </c>
      <c r="G10" s="65">
        <v>5378</v>
      </c>
      <c r="H10" s="65">
        <v>0</v>
      </c>
      <c r="I10" s="39">
        <v>725140</v>
      </c>
      <c r="J10" s="41">
        <v>42202</v>
      </c>
      <c r="K10" s="43">
        <v>8262</v>
      </c>
      <c r="L10" s="43">
        <v>13</v>
      </c>
      <c r="M10" s="43">
        <v>0</v>
      </c>
      <c r="N10" s="39">
        <v>50477</v>
      </c>
      <c r="O10" s="43">
        <v>37029</v>
      </c>
      <c r="P10" s="43">
        <v>64819</v>
      </c>
      <c r="Q10" s="43">
        <v>130</v>
      </c>
      <c r="R10" s="43"/>
      <c r="S10" s="39">
        <v>101978</v>
      </c>
      <c r="T10" s="41">
        <v>52054</v>
      </c>
      <c r="U10" s="43">
        <v>0</v>
      </c>
      <c r="V10" s="43">
        <v>525</v>
      </c>
      <c r="W10" s="43">
        <v>0</v>
      </c>
      <c r="X10" s="39">
        <v>52579</v>
      </c>
      <c r="Y10" s="41">
        <v>36717</v>
      </c>
      <c r="Z10" s="43"/>
      <c r="AA10" s="43">
        <v>710</v>
      </c>
      <c r="AB10" s="43"/>
      <c r="AC10" s="39">
        <v>37427</v>
      </c>
      <c r="AD10" s="41">
        <v>43730</v>
      </c>
      <c r="AE10" s="43">
        <v>62278</v>
      </c>
      <c r="AF10" s="43">
        <v>1250</v>
      </c>
      <c r="AG10" s="43">
        <v>0</v>
      </c>
      <c r="AH10" s="39">
        <v>107258</v>
      </c>
      <c r="AI10" s="41">
        <v>37902</v>
      </c>
      <c r="AJ10" s="43">
        <v>675</v>
      </c>
      <c r="AK10" s="43">
        <v>366</v>
      </c>
      <c r="AL10" s="43">
        <v>0</v>
      </c>
      <c r="AM10" s="39">
        <v>38943</v>
      </c>
      <c r="AN10" s="41">
        <v>42685</v>
      </c>
      <c r="AO10" s="43">
        <v>53234</v>
      </c>
      <c r="AP10" s="43">
        <v>-135</v>
      </c>
      <c r="AQ10" s="43">
        <v>9</v>
      </c>
      <c r="AR10" s="39">
        <v>95793</v>
      </c>
      <c r="AS10" s="41">
        <v>37498</v>
      </c>
      <c r="AT10" s="43">
        <v>187</v>
      </c>
      <c r="AU10" s="43">
        <v>872</v>
      </c>
      <c r="AV10" s="43">
        <v>7</v>
      </c>
      <c r="AW10" s="39">
        <v>38564</v>
      </c>
      <c r="AX10" s="41">
        <v>35118</v>
      </c>
      <c r="AY10" s="43">
        <v>185</v>
      </c>
      <c r="AZ10" s="43">
        <v>1046</v>
      </c>
      <c r="BA10" s="43">
        <v>0</v>
      </c>
      <c r="BB10" s="39">
        <v>36349</v>
      </c>
      <c r="BC10" s="41">
        <v>35056</v>
      </c>
      <c r="BD10" s="43">
        <v>69</v>
      </c>
      <c r="BE10" s="43">
        <v>1857</v>
      </c>
      <c r="BF10" s="43">
        <v>0</v>
      </c>
      <c r="BG10" s="39">
        <v>36982</v>
      </c>
      <c r="BH10" s="41"/>
      <c r="BI10" s="43"/>
      <c r="BJ10" s="43"/>
      <c r="BK10" s="43"/>
      <c r="BL10" s="39"/>
      <c r="BM10" s="41"/>
      <c r="BN10" s="43"/>
      <c r="BO10" s="43"/>
      <c r="BP10" s="43"/>
      <c r="BQ10" s="39"/>
      <c r="BR10" s="41">
        <v>399991</v>
      </c>
      <c r="BS10" s="65">
        <v>189709</v>
      </c>
      <c r="BT10" s="43">
        <v>6634</v>
      </c>
      <c r="BU10" s="43">
        <v>16</v>
      </c>
      <c r="BV10" s="41">
        <v>596350</v>
      </c>
      <c r="BW10" s="9"/>
      <c r="BX10" s="208"/>
      <c r="CA10" s="264"/>
      <c r="CB10" s="1"/>
    </row>
    <row r="11" spans="1:80" ht="13.5" x14ac:dyDescent="0.25">
      <c r="A11" s="202">
        <v>5</v>
      </c>
      <c r="B11" s="203" t="s">
        <v>189</v>
      </c>
      <c r="D11" s="207"/>
      <c r="E11" s="66">
        <v>6505143</v>
      </c>
      <c r="F11" s="65">
        <v>2269254</v>
      </c>
      <c r="G11" s="65">
        <v>13011</v>
      </c>
      <c r="H11" s="65">
        <v>0</v>
      </c>
      <c r="I11" s="39">
        <v>8787408</v>
      </c>
      <c r="J11" s="41">
        <v>394381</v>
      </c>
      <c r="K11" s="43">
        <v>459844</v>
      </c>
      <c r="L11" s="43">
        <v>75903</v>
      </c>
      <c r="M11" s="43">
        <v>0</v>
      </c>
      <c r="N11" s="39">
        <v>930128</v>
      </c>
      <c r="O11" s="43">
        <v>538070</v>
      </c>
      <c r="P11" s="43">
        <v>166364</v>
      </c>
      <c r="Q11" s="43">
        <v>14930</v>
      </c>
      <c r="R11" s="43">
        <v>0</v>
      </c>
      <c r="S11" s="39">
        <v>719364</v>
      </c>
      <c r="T11" s="41">
        <v>422472</v>
      </c>
      <c r="U11" s="43">
        <v>164893</v>
      </c>
      <c r="V11" s="43">
        <v>5038</v>
      </c>
      <c r="W11" s="43">
        <v>0</v>
      </c>
      <c r="X11" s="39">
        <v>592403</v>
      </c>
      <c r="Y11" s="41">
        <v>433396</v>
      </c>
      <c r="Z11" s="43">
        <v>207919</v>
      </c>
      <c r="AA11" s="43">
        <v>10620</v>
      </c>
      <c r="AB11" s="43">
        <v>0</v>
      </c>
      <c r="AC11" s="39">
        <v>651935</v>
      </c>
      <c r="AD11" s="41">
        <v>434166</v>
      </c>
      <c r="AE11" s="43">
        <v>100853</v>
      </c>
      <c r="AF11" s="43">
        <v>3675</v>
      </c>
      <c r="AG11" s="43">
        <v>0</v>
      </c>
      <c r="AH11" s="39">
        <v>538694</v>
      </c>
      <c r="AI11" s="41">
        <v>474137</v>
      </c>
      <c r="AJ11" s="43">
        <v>102820</v>
      </c>
      <c r="AK11" s="43">
        <v>64166</v>
      </c>
      <c r="AL11" s="43">
        <v>0</v>
      </c>
      <c r="AM11" s="39">
        <v>641123</v>
      </c>
      <c r="AN11" s="41">
        <v>463240</v>
      </c>
      <c r="AO11" s="43">
        <v>212274</v>
      </c>
      <c r="AP11" s="43">
        <v>12822</v>
      </c>
      <c r="AQ11" s="43">
        <v>0</v>
      </c>
      <c r="AR11" s="39">
        <v>688336</v>
      </c>
      <c r="AS11" s="41">
        <v>515084</v>
      </c>
      <c r="AT11" s="43">
        <v>101716</v>
      </c>
      <c r="AU11" s="43">
        <v>16821</v>
      </c>
      <c r="AV11" s="43">
        <v>0</v>
      </c>
      <c r="AW11" s="39">
        <v>633621</v>
      </c>
      <c r="AX11" s="41">
        <v>522298</v>
      </c>
      <c r="AY11" s="43">
        <v>124859</v>
      </c>
      <c r="AZ11" s="43">
        <v>7670</v>
      </c>
      <c r="BA11" s="43">
        <v>0</v>
      </c>
      <c r="BB11" s="39">
        <v>654827</v>
      </c>
      <c r="BC11" s="41">
        <v>426523</v>
      </c>
      <c r="BD11" s="43">
        <v>244179</v>
      </c>
      <c r="BE11" s="43">
        <v>4645</v>
      </c>
      <c r="BF11" s="43">
        <v>0</v>
      </c>
      <c r="BG11" s="39">
        <v>675347</v>
      </c>
      <c r="BH11" s="41">
        <v>0</v>
      </c>
      <c r="BI11" s="43">
        <v>0</v>
      </c>
      <c r="BJ11" s="43">
        <v>0</v>
      </c>
      <c r="BK11" s="43">
        <v>0</v>
      </c>
      <c r="BL11" s="39">
        <v>0</v>
      </c>
      <c r="BM11" s="41">
        <v>0</v>
      </c>
      <c r="BN11" s="43">
        <v>0</v>
      </c>
      <c r="BO11" s="43">
        <v>0</v>
      </c>
      <c r="BP11" s="43">
        <v>0</v>
      </c>
      <c r="BQ11" s="39">
        <v>0</v>
      </c>
      <c r="BR11" s="41">
        <v>4623767</v>
      </c>
      <c r="BS11" s="65">
        <v>1885721</v>
      </c>
      <c r="BT11" s="43">
        <v>216290</v>
      </c>
      <c r="BU11" s="43">
        <v>0</v>
      </c>
      <c r="BV11" s="41">
        <v>6725778</v>
      </c>
      <c r="BW11" s="9"/>
      <c r="BX11" s="206"/>
      <c r="CA11" s="264"/>
      <c r="CB11" s="1"/>
    </row>
    <row r="12" spans="1:80" ht="13.5" x14ac:dyDescent="0.25">
      <c r="A12" s="202">
        <v>6</v>
      </c>
      <c r="B12" s="203" t="s">
        <v>190</v>
      </c>
      <c r="D12" s="204"/>
      <c r="E12" s="66">
        <v>5249060</v>
      </c>
      <c r="F12" s="65">
        <v>914879</v>
      </c>
      <c r="G12" s="65">
        <v>151029</v>
      </c>
      <c r="H12" s="65">
        <v>0</v>
      </c>
      <c r="I12" s="39">
        <v>6314968</v>
      </c>
      <c r="J12" s="41">
        <v>507360</v>
      </c>
      <c r="K12" s="43">
        <v>1819</v>
      </c>
      <c r="L12" s="43">
        <v>2339</v>
      </c>
      <c r="M12" s="43">
        <v>0</v>
      </c>
      <c r="N12" s="39">
        <v>511518</v>
      </c>
      <c r="O12" s="43">
        <v>410400</v>
      </c>
      <c r="P12" s="43">
        <v>531</v>
      </c>
      <c r="Q12" s="43">
        <v>9289</v>
      </c>
      <c r="R12" s="43">
        <v>0</v>
      </c>
      <c r="S12" s="39">
        <v>420220</v>
      </c>
      <c r="T12" s="41">
        <v>460311</v>
      </c>
      <c r="U12" s="43">
        <v>484367</v>
      </c>
      <c r="V12" s="43">
        <v>3611</v>
      </c>
      <c r="W12" s="43">
        <v>0</v>
      </c>
      <c r="X12" s="39">
        <v>948289</v>
      </c>
      <c r="Y12" s="41">
        <v>414377</v>
      </c>
      <c r="Z12" s="43">
        <v>1142</v>
      </c>
      <c r="AA12" s="43">
        <v>48378</v>
      </c>
      <c r="AB12" s="43">
        <v>0</v>
      </c>
      <c r="AC12" s="39">
        <v>463897</v>
      </c>
      <c r="AD12" s="41">
        <v>425690</v>
      </c>
      <c r="AE12" s="43">
        <v>4643</v>
      </c>
      <c r="AF12" s="43">
        <v>2918</v>
      </c>
      <c r="AG12" s="43">
        <v>0</v>
      </c>
      <c r="AH12" s="39">
        <v>433251</v>
      </c>
      <c r="AI12" s="41">
        <v>459991</v>
      </c>
      <c r="AJ12" s="43">
        <v>35246</v>
      </c>
      <c r="AK12" s="43">
        <v>2952</v>
      </c>
      <c r="AL12" s="43">
        <v>0</v>
      </c>
      <c r="AM12" s="39">
        <v>498189</v>
      </c>
      <c r="AN12" s="41">
        <v>490925</v>
      </c>
      <c r="AO12" s="43">
        <v>1585</v>
      </c>
      <c r="AP12" s="43">
        <v>3561</v>
      </c>
      <c r="AQ12" s="43">
        <v>815</v>
      </c>
      <c r="AR12" s="39">
        <v>496886</v>
      </c>
      <c r="AS12" s="41">
        <v>486129</v>
      </c>
      <c r="AT12" s="43">
        <v>111049</v>
      </c>
      <c r="AU12" s="43">
        <v>-41495</v>
      </c>
      <c r="AV12" s="43">
        <v>0</v>
      </c>
      <c r="AW12" s="39">
        <v>555683</v>
      </c>
      <c r="AX12" s="41">
        <v>367013</v>
      </c>
      <c r="AY12" s="43">
        <v>5760</v>
      </c>
      <c r="AZ12" s="43">
        <v>3628</v>
      </c>
      <c r="BA12" s="43">
        <v>0</v>
      </c>
      <c r="BB12" s="39">
        <v>376401</v>
      </c>
      <c r="BC12" s="41">
        <v>415064</v>
      </c>
      <c r="BD12" s="43">
        <v>5218</v>
      </c>
      <c r="BE12" s="43">
        <v>2756</v>
      </c>
      <c r="BF12" s="43">
        <v>3</v>
      </c>
      <c r="BG12" s="39">
        <v>423041</v>
      </c>
      <c r="BH12" s="41">
        <v>0</v>
      </c>
      <c r="BI12" s="43">
        <v>0</v>
      </c>
      <c r="BJ12" s="43">
        <v>0</v>
      </c>
      <c r="BK12" s="43">
        <v>0</v>
      </c>
      <c r="BL12" s="39">
        <v>0</v>
      </c>
      <c r="BM12" s="41">
        <v>0</v>
      </c>
      <c r="BN12" s="43">
        <v>0</v>
      </c>
      <c r="BO12" s="43">
        <v>0</v>
      </c>
      <c r="BP12" s="43">
        <v>0</v>
      </c>
      <c r="BQ12" s="39">
        <v>0</v>
      </c>
      <c r="BR12" s="41">
        <v>4437260</v>
      </c>
      <c r="BS12" s="65">
        <v>651360</v>
      </c>
      <c r="BT12" s="43">
        <v>37937</v>
      </c>
      <c r="BU12" s="43">
        <v>818</v>
      </c>
      <c r="BV12" s="41">
        <v>5127375</v>
      </c>
      <c r="BW12" s="9"/>
      <c r="BX12" s="208"/>
      <c r="CA12" s="264"/>
      <c r="CB12" s="1"/>
    </row>
    <row r="13" spans="1:80" ht="13.5" x14ac:dyDescent="0.25">
      <c r="A13" s="202">
        <v>7</v>
      </c>
      <c r="B13" s="203" t="s">
        <v>191</v>
      </c>
      <c r="D13" s="204"/>
      <c r="E13" s="66">
        <v>87477</v>
      </c>
      <c r="F13" s="65">
        <v>136498</v>
      </c>
      <c r="G13" s="65">
        <v>3432</v>
      </c>
      <c r="H13" s="65">
        <v>0</v>
      </c>
      <c r="I13" s="39">
        <v>227407</v>
      </c>
      <c r="J13" s="41">
        <v>6216</v>
      </c>
      <c r="K13" s="43">
        <v>6559</v>
      </c>
      <c r="L13" s="43">
        <v>0</v>
      </c>
      <c r="M13" s="43">
        <v>0</v>
      </c>
      <c r="N13" s="39">
        <v>12775</v>
      </c>
      <c r="O13" s="43">
        <v>6631</v>
      </c>
      <c r="P13" s="43">
        <v>7496</v>
      </c>
      <c r="Q13" s="43">
        <v>25</v>
      </c>
      <c r="R13" s="43"/>
      <c r="S13" s="39">
        <v>14152</v>
      </c>
      <c r="T13" s="41">
        <v>7658</v>
      </c>
      <c r="U13" s="43">
        <v>8478</v>
      </c>
      <c r="V13" s="43">
        <v>0</v>
      </c>
      <c r="W13" s="43">
        <v>0</v>
      </c>
      <c r="X13" s="39">
        <v>16136</v>
      </c>
      <c r="Y13" s="41">
        <v>7883</v>
      </c>
      <c r="Z13" s="43">
        <v>7515</v>
      </c>
      <c r="AA13" s="43">
        <v>1322</v>
      </c>
      <c r="AB13" s="43"/>
      <c r="AC13" s="39">
        <v>16720</v>
      </c>
      <c r="AD13" s="41">
        <v>6502</v>
      </c>
      <c r="AE13" s="43">
        <v>56</v>
      </c>
      <c r="AF13" s="43">
        <v>-335</v>
      </c>
      <c r="AG13" s="43">
        <v>0</v>
      </c>
      <c r="AH13" s="39">
        <v>6223</v>
      </c>
      <c r="AI13" s="41">
        <v>8895</v>
      </c>
      <c r="AJ13" s="43">
        <v>25026</v>
      </c>
      <c r="AK13" s="43">
        <v>47</v>
      </c>
      <c r="AL13" s="43">
        <v>0</v>
      </c>
      <c r="AM13" s="39">
        <v>33968</v>
      </c>
      <c r="AN13" s="41">
        <v>7579</v>
      </c>
      <c r="AO13" s="43">
        <v>11861</v>
      </c>
      <c r="AP13" s="43">
        <v>220</v>
      </c>
      <c r="AQ13" s="43">
        <v>0</v>
      </c>
      <c r="AR13" s="39">
        <v>19660</v>
      </c>
      <c r="AS13" s="41">
        <v>10009</v>
      </c>
      <c r="AT13" s="43">
        <v>12150</v>
      </c>
      <c r="AU13" s="43">
        <v>0</v>
      </c>
      <c r="AV13" s="43">
        <v>0</v>
      </c>
      <c r="AW13" s="39">
        <v>22159</v>
      </c>
      <c r="AX13" s="41">
        <v>8952</v>
      </c>
      <c r="AY13" s="43">
        <v>13074</v>
      </c>
      <c r="AZ13" s="43">
        <v>0</v>
      </c>
      <c r="BA13" s="43">
        <v>0</v>
      </c>
      <c r="BB13" s="39">
        <v>22026</v>
      </c>
      <c r="BC13" s="41">
        <v>5599</v>
      </c>
      <c r="BD13" s="43">
        <v>6770</v>
      </c>
      <c r="BE13" s="43">
        <v>0</v>
      </c>
      <c r="BF13" s="43">
        <v>0</v>
      </c>
      <c r="BG13" s="39">
        <v>12369</v>
      </c>
      <c r="BH13" s="41"/>
      <c r="BI13" s="43"/>
      <c r="BJ13" s="43"/>
      <c r="BK13" s="43"/>
      <c r="BL13" s="39"/>
      <c r="BM13" s="41"/>
      <c r="BN13" s="43"/>
      <c r="BO13" s="43"/>
      <c r="BP13" s="43"/>
      <c r="BQ13" s="39"/>
      <c r="BR13" s="41">
        <v>75924</v>
      </c>
      <c r="BS13" s="65">
        <v>98985</v>
      </c>
      <c r="BT13" s="43">
        <v>1279</v>
      </c>
      <c r="BU13" s="43">
        <v>0</v>
      </c>
      <c r="BV13" s="41">
        <v>176188</v>
      </c>
      <c r="BW13" s="9"/>
      <c r="BX13" s="206"/>
      <c r="CA13" s="264"/>
      <c r="CB13" s="1"/>
    </row>
    <row r="14" spans="1:80" ht="13.5" x14ac:dyDescent="0.25">
      <c r="A14" s="202">
        <v>8</v>
      </c>
      <c r="B14" s="203" t="s">
        <v>192</v>
      </c>
      <c r="D14" s="204"/>
      <c r="E14" s="66">
        <v>2288169</v>
      </c>
      <c r="F14" s="65">
        <v>24187924</v>
      </c>
      <c r="G14" s="65">
        <v>68574</v>
      </c>
      <c r="H14" s="65">
        <v>7981006</v>
      </c>
      <c r="I14" s="39">
        <v>34525673</v>
      </c>
      <c r="J14" s="41">
        <v>97620</v>
      </c>
      <c r="K14" s="43">
        <v>1328011</v>
      </c>
      <c r="L14" s="43">
        <v>0</v>
      </c>
      <c r="M14" s="43">
        <v>0</v>
      </c>
      <c r="N14" s="39">
        <v>1425631</v>
      </c>
      <c r="O14" s="43">
        <v>142170</v>
      </c>
      <c r="P14" s="43">
        <v>2198989</v>
      </c>
      <c r="Q14" s="43">
        <v>0</v>
      </c>
      <c r="R14" s="43">
        <v>0</v>
      </c>
      <c r="S14" s="39">
        <v>2341159</v>
      </c>
      <c r="T14" s="41">
        <v>187894</v>
      </c>
      <c r="U14" s="43">
        <v>1714217</v>
      </c>
      <c r="V14" s="43">
        <v>20517</v>
      </c>
      <c r="W14" s="43">
        <v>403307</v>
      </c>
      <c r="X14" s="39">
        <v>2325935</v>
      </c>
      <c r="Y14" s="41">
        <v>198302</v>
      </c>
      <c r="Z14" s="43">
        <v>2076439</v>
      </c>
      <c r="AA14" s="43">
        <v>627</v>
      </c>
      <c r="AB14" s="43">
        <v>27028</v>
      </c>
      <c r="AC14" s="39">
        <v>2302396</v>
      </c>
      <c r="AD14" s="41">
        <v>160989</v>
      </c>
      <c r="AE14" s="43">
        <v>2216846</v>
      </c>
      <c r="AF14" s="43">
        <v>2786</v>
      </c>
      <c r="AG14" s="43">
        <v>0</v>
      </c>
      <c r="AH14" s="39">
        <v>2380621</v>
      </c>
      <c r="AI14" s="41">
        <v>90905</v>
      </c>
      <c r="AJ14" s="43">
        <v>2094557</v>
      </c>
      <c r="AK14" s="43">
        <v>3662</v>
      </c>
      <c r="AL14" s="43">
        <v>2925634</v>
      </c>
      <c r="AM14" s="39">
        <v>5114758</v>
      </c>
      <c r="AN14" s="41">
        <v>233688</v>
      </c>
      <c r="AO14" s="43">
        <v>1576166</v>
      </c>
      <c r="AP14" s="43">
        <v>104</v>
      </c>
      <c r="AQ14" s="43">
        <v>0</v>
      </c>
      <c r="AR14" s="39">
        <v>1809958</v>
      </c>
      <c r="AS14" s="41">
        <v>152725</v>
      </c>
      <c r="AT14" s="43">
        <v>2165921</v>
      </c>
      <c r="AU14" s="43">
        <v>1792</v>
      </c>
      <c r="AV14" s="43">
        <v>95</v>
      </c>
      <c r="AW14" s="39">
        <v>2320533</v>
      </c>
      <c r="AX14" s="41">
        <v>142686</v>
      </c>
      <c r="AY14" s="43">
        <v>1797684</v>
      </c>
      <c r="AZ14" s="43">
        <v>926</v>
      </c>
      <c r="BA14" s="43">
        <v>5115550</v>
      </c>
      <c r="BB14" s="39">
        <v>7056846</v>
      </c>
      <c r="BC14" s="41">
        <v>120707</v>
      </c>
      <c r="BD14" s="43">
        <v>1716791</v>
      </c>
      <c r="BE14" s="43">
        <v>417</v>
      </c>
      <c r="BF14" s="43">
        <v>0</v>
      </c>
      <c r="BG14" s="39">
        <v>1837915</v>
      </c>
      <c r="BH14" s="41">
        <v>0</v>
      </c>
      <c r="BI14" s="43">
        <v>0</v>
      </c>
      <c r="BJ14" s="43">
        <v>0</v>
      </c>
      <c r="BK14" s="43">
        <v>0</v>
      </c>
      <c r="BL14" s="39">
        <v>0</v>
      </c>
      <c r="BM14" s="41">
        <v>0</v>
      </c>
      <c r="BN14" s="43">
        <v>0</v>
      </c>
      <c r="BO14" s="43">
        <v>0</v>
      </c>
      <c r="BP14" s="43">
        <v>0</v>
      </c>
      <c r="BQ14" s="39">
        <v>0</v>
      </c>
      <c r="BR14" s="41">
        <v>1527686</v>
      </c>
      <c r="BS14" s="65">
        <v>18885621</v>
      </c>
      <c r="BT14" s="43">
        <v>30831</v>
      </c>
      <c r="BU14" s="43">
        <v>8471614</v>
      </c>
      <c r="BV14" s="41">
        <v>28915752</v>
      </c>
      <c r="BW14" s="9"/>
      <c r="BX14" s="208"/>
      <c r="CA14" s="264"/>
      <c r="CB14" s="1"/>
    </row>
    <row r="15" spans="1:80" ht="13.5" x14ac:dyDescent="0.25">
      <c r="A15" s="202">
        <v>9</v>
      </c>
      <c r="B15" s="203" t="s">
        <v>193</v>
      </c>
      <c r="D15" s="209"/>
      <c r="E15" s="66">
        <v>396387</v>
      </c>
      <c r="F15" s="65">
        <v>236</v>
      </c>
      <c r="G15" s="65">
        <v>3347</v>
      </c>
      <c r="H15" s="65">
        <v>4</v>
      </c>
      <c r="I15" s="39">
        <v>399974</v>
      </c>
      <c r="J15" s="41">
        <v>25273</v>
      </c>
      <c r="K15" s="43">
        <v>0</v>
      </c>
      <c r="L15" s="43">
        <v>0</v>
      </c>
      <c r="M15" s="43">
        <v>0</v>
      </c>
      <c r="N15" s="39">
        <v>25273</v>
      </c>
      <c r="O15" s="43">
        <v>26963</v>
      </c>
      <c r="P15" s="43">
        <v>65</v>
      </c>
      <c r="Q15" s="43">
        <v>145</v>
      </c>
      <c r="R15" s="43">
        <v>0</v>
      </c>
      <c r="S15" s="39">
        <v>27173</v>
      </c>
      <c r="T15" s="41">
        <v>27187</v>
      </c>
      <c r="U15" s="43">
        <v>74</v>
      </c>
      <c r="V15" s="43">
        <v>1852</v>
      </c>
      <c r="W15" s="43">
        <v>4</v>
      </c>
      <c r="X15" s="39">
        <v>29117</v>
      </c>
      <c r="Y15" s="41">
        <v>29249</v>
      </c>
      <c r="Z15" s="43">
        <v>29</v>
      </c>
      <c r="AA15" s="43">
        <v>287</v>
      </c>
      <c r="AB15" s="43">
        <v>0</v>
      </c>
      <c r="AC15" s="39">
        <v>29565</v>
      </c>
      <c r="AD15" s="41">
        <v>27878</v>
      </c>
      <c r="AE15" s="43">
        <v>66</v>
      </c>
      <c r="AF15" s="43">
        <v>172</v>
      </c>
      <c r="AG15" s="43">
        <v>0</v>
      </c>
      <c r="AH15" s="39">
        <v>28116</v>
      </c>
      <c r="AI15" s="41">
        <v>30272</v>
      </c>
      <c r="AJ15" s="43">
        <v>78</v>
      </c>
      <c r="AK15" s="43">
        <v>371</v>
      </c>
      <c r="AL15" s="43">
        <v>0</v>
      </c>
      <c r="AM15" s="39">
        <v>30721</v>
      </c>
      <c r="AN15" s="41">
        <v>27709</v>
      </c>
      <c r="AO15" s="43">
        <v>0</v>
      </c>
      <c r="AP15" s="43">
        <v>19</v>
      </c>
      <c r="AQ15" s="43">
        <v>0</v>
      </c>
      <c r="AR15" s="39">
        <v>27728</v>
      </c>
      <c r="AS15" s="41">
        <v>38151</v>
      </c>
      <c r="AT15" s="43">
        <v>8</v>
      </c>
      <c r="AU15" s="43">
        <v>103</v>
      </c>
      <c r="AV15" s="43">
        <v>0</v>
      </c>
      <c r="AW15" s="39">
        <v>38262</v>
      </c>
      <c r="AX15" s="41">
        <v>36313</v>
      </c>
      <c r="AY15" s="43">
        <v>13</v>
      </c>
      <c r="AZ15" s="43">
        <v>67</v>
      </c>
      <c r="BA15" s="43">
        <v>0</v>
      </c>
      <c r="BB15" s="39">
        <v>36393</v>
      </c>
      <c r="BC15" s="41">
        <v>27624</v>
      </c>
      <c r="BD15" s="43">
        <v>0</v>
      </c>
      <c r="BE15" s="43">
        <v>62</v>
      </c>
      <c r="BF15" s="43">
        <v>0</v>
      </c>
      <c r="BG15" s="39">
        <v>27686</v>
      </c>
      <c r="BH15" s="41">
        <v>0</v>
      </c>
      <c r="BI15" s="43">
        <v>0</v>
      </c>
      <c r="BJ15" s="43">
        <v>0</v>
      </c>
      <c r="BK15" s="43">
        <v>0</v>
      </c>
      <c r="BL15" s="39">
        <v>0</v>
      </c>
      <c r="BM15" s="41">
        <v>0</v>
      </c>
      <c r="BN15" s="43">
        <v>0</v>
      </c>
      <c r="BO15" s="43">
        <v>0</v>
      </c>
      <c r="BP15" s="43">
        <v>0</v>
      </c>
      <c r="BQ15" s="39">
        <v>0</v>
      </c>
      <c r="BR15" s="41">
        <v>296619</v>
      </c>
      <c r="BS15" s="65">
        <v>333</v>
      </c>
      <c r="BT15" s="43">
        <v>3078</v>
      </c>
      <c r="BU15" s="43">
        <v>4</v>
      </c>
      <c r="BV15" s="41">
        <v>300034</v>
      </c>
      <c r="BW15" s="9"/>
      <c r="BX15" s="206"/>
      <c r="CA15" s="264"/>
      <c r="CB15" s="1"/>
    </row>
    <row r="16" spans="1:80" ht="13.5" x14ac:dyDescent="0.25">
      <c r="A16" s="202">
        <v>10</v>
      </c>
      <c r="B16" s="210" t="s">
        <v>194</v>
      </c>
      <c r="D16" s="209"/>
      <c r="E16" s="66">
        <v>261874</v>
      </c>
      <c r="F16" s="65">
        <v>168</v>
      </c>
      <c r="G16" s="65">
        <v>3516</v>
      </c>
      <c r="H16" s="65">
        <v>77341348</v>
      </c>
      <c r="I16" s="39">
        <v>77606906</v>
      </c>
      <c r="J16" s="41">
        <v>13997</v>
      </c>
      <c r="K16" s="43">
        <v>2</v>
      </c>
      <c r="L16" s="43">
        <v>14</v>
      </c>
      <c r="M16" s="43">
        <v>0</v>
      </c>
      <c r="N16" s="39">
        <v>14013</v>
      </c>
      <c r="O16" s="43">
        <v>15331</v>
      </c>
      <c r="P16" s="43">
        <v>149</v>
      </c>
      <c r="Q16" s="43">
        <v>308</v>
      </c>
      <c r="R16" s="43">
        <v>1000000</v>
      </c>
      <c r="S16" s="39">
        <v>1015788</v>
      </c>
      <c r="T16" s="41">
        <v>24169</v>
      </c>
      <c r="U16" s="43">
        <v>0</v>
      </c>
      <c r="V16" s="43">
        <v>339</v>
      </c>
      <c r="W16" s="43">
        <v>72000</v>
      </c>
      <c r="X16" s="39">
        <v>96508</v>
      </c>
      <c r="Y16" s="41">
        <v>36884</v>
      </c>
      <c r="Z16" s="43">
        <v>0</v>
      </c>
      <c r="AA16" s="43">
        <v>1260</v>
      </c>
      <c r="AB16" s="43">
        <v>3779311</v>
      </c>
      <c r="AC16" s="39">
        <v>3817455</v>
      </c>
      <c r="AD16" s="41">
        <v>6775</v>
      </c>
      <c r="AE16" s="43">
        <v>0</v>
      </c>
      <c r="AF16" s="43">
        <v>23</v>
      </c>
      <c r="AG16" s="43">
        <v>5000000</v>
      </c>
      <c r="AH16" s="39">
        <v>5006798</v>
      </c>
      <c r="AI16" s="41">
        <v>15744</v>
      </c>
      <c r="AJ16" s="43">
        <v>0</v>
      </c>
      <c r="AK16" s="43">
        <v>834</v>
      </c>
      <c r="AL16" s="43">
        <v>89606</v>
      </c>
      <c r="AM16" s="39">
        <v>106184</v>
      </c>
      <c r="AN16" s="41">
        <v>16005</v>
      </c>
      <c r="AO16" s="43">
        <v>124</v>
      </c>
      <c r="AP16" s="43">
        <v>44</v>
      </c>
      <c r="AQ16" s="43">
        <v>2000000</v>
      </c>
      <c r="AR16" s="39">
        <v>2016173</v>
      </c>
      <c r="AS16" s="41">
        <v>15502</v>
      </c>
      <c r="AT16" s="43">
        <v>36</v>
      </c>
      <c r="AU16" s="43">
        <v>348</v>
      </c>
      <c r="AV16" s="43">
        <v>3771000</v>
      </c>
      <c r="AW16" s="39">
        <v>3786886</v>
      </c>
      <c r="AX16" s="41">
        <v>16744</v>
      </c>
      <c r="AY16" s="43">
        <v>0</v>
      </c>
      <c r="AZ16" s="43">
        <v>107</v>
      </c>
      <c r="BA16" s="43">
        <v>11572123</v>
      </c>
      <c r="BB16" s="39">
        <v>11588974</v>
      </c>
      <c r="BC16" s="41">
        <v>14604</v>
      </c>
      <c r="BD16" s="43">
        <v>484</v>
      </c>
      <c r="BE16" s="43">
        <v>0</v>
      </c>
      <c r="BF16" s="43">
        <v>30300008</v>
      </c>
      <c r="BG16" s="39">
        <v>30315096</v>
      </c>
      <c r="BH16" s="41">
        <v>0</v>
      </c>
      <c r="BI16" s="43">
        <v>0</v>
      </c>
      <c r="BJ16" s="43">
        <v>0</v>
      </c>
      <c r="BK16" s="43">
        <v>0</v>
      </c>
      <c r="BL16" s="39">
        <v>0</v>
      </c>
      <c r="BM16" s="41">
        <v>0</v>
      </c>
      <c r="BN16" s="43">
        <v>0</v>
      </c>
      <c r="BO16" s="43">
        <v>0</v>
      </c>
      <c r="BP16" s="43">
        <v>0</v>
      </c>
      <c r="BQ16" s="39">
        <v>0</v>
      </c>
      <c r="BR16" s="41">
        <v>175755</v>
      </c>
      <c r="BS16" s="65">
        <v>795</v>
      </c>
      <c r="BT16" s="43">
        <v>3277</v>
      </c>
      <c r="BU16" s="43">
        <v>57584048</v>
      </c>
      <c r="BV16" s="41">
        <v>57763875</v>
      </c>
      <c r="BW16" s="9"/>
      <c r="BX16" s="206"/>
      <c r="CA16" s="264"/>
      <c r="CB16" s="1"/>
    </row>
    <row r="17" spans="1:80" ht="13.5" x14ac:dyDescent="0.25">
      <c r="A17" s="202">
        <v>11</v>
      </c>
      <c r="B17" s="203" t="s">
        <v>195</v>
      </c>
      <c r="D17" s="207"/>
      <c r="E17" s="66">
        <v>426306</v>
      </c>
      <c r="F17" s="65">
        <v>37799</v>
      </c>
      <c r="G17" s="65">
        <v>4790</v>
      </c>
      <c r="H17" s="65">
        <v>0</v>
      </c>
      <c r="I17" s="39">
        <v>468895</v>
      </c>
      <c r="J17" s="41">
        <v>23789</v>
      </c>
      <c r="K17" s="43">
        <v>2431</v>
      </c>
      <c r="L17" s="43">
        <v>0</v>
      </c>
      <c r="M17" s="43">
        <v>0</v>
      </c>
      <c r="N17" s="39">
        <v>26220</v>
      </c>
      <c r="O17" s="43">
        <v>37006</v>
      </c>
      <c r="P17" s="43">
        <v>2880</v>
      </c>
      <c r="Q17" s="43">
        <v>79</v>
      </c>
      <c r="R17" s="43">
        <v>0</v>
      </c>
      <c r="S17" s="39">
        <v>39965</v>
      </c>
      <c r="T17" s="41">
        <v>27759</v>
      </c>
      <c r="U17" s="43">
        <v>2885</v>
      </c>
      <c r="V17" s="43">
        <v>29</v>
      </c>
      <c r="W17" s="43">
        <v>0</v>
      </c>
      <c r="X17" s="39">
        <v>30673</v>
      </c>
      <c r="Y17" s="41">
        <v>30348</v>
      </c>
      <c r="Z17" s="43">
        <v>5627</v>
      </c>
      <c r="AA17" s="43">
        <v>0</v>
      </c>
      <c r="AB17" s="43">
        <v>0</v>
      </c>
      <c r="AC17" s="39">
        <v>35975</v>
      </c>
      <c r="AD17" s="41">
        <v>40785</v>
      </c>
      <c r="AE17" s="43">
        <v>2560</v>
      </c>
      <c r="AF17" s="43">
        <v>310</v>
      </c>
      <c r="AG17" s="43">
        <v>0</v>
      </c>
      <c r="AH17" s="39">
        <v>43655</v>
      </c>
      <c r="AI17" s="41">
        <v>26108</v>
      </c>
      <c r="AJ17" s="43">
        <v>4134</v>
      </c>
      <c r="AK17" s="43">
        <v>201</v>
      </c>
      <c r="AL17" s="43">
        <v>0</v>
      </c>
      <c r="AM17" s="39">
        <v>30443</v>
      </c>
      <c r="AN17" s="41">
        <v>40149</v>
      </c>
      <c r="AO17" s="43">
        <v>2188</v>
      </c>
      <c r="AP17" s="43">
        <v>30</v>
      </c>
      <c r="AQ17" s="43">
        <v>0</v>
      </c>
      <c r="AR17" s="39">
        <v>42367</v>
      </c>
      <c r="AS17" s="41">
        <v>27972</v>
      </c>
      <c r="AT17" s="43">
        <v>6026</v>
      </c>
      <c r="AU17" s="43">
        <v>160</v>
      </c>
      <c r="AV17" s="43">
        <v>0</v>
      </c>
      <c r="AW17" s="39">
        <v>34158</v>
      </c>
      <c r="AX17" s="41">
        <v>27308</v>
      </c>
      <c r="AY17" s="43">
        <v>3246</v>
      </c>
      <c r="AZ17" s="43">
        <v>-10</v>
      </c>
      <c r="BA17" s="43">
        <v>0</v>
      </c>
      <c r="BB17" s="39">
        <v>30544</v>
      </c>
      <c r="BC17" s="41">
        <v>36817</v>
      </c>
      <c r="BD17" s="43">
        <v>2236</v>
      </c>
      <c r="BE17" s="43">
        <v>416</v>
      </c>
      <c r="BF17" s="43">
        <v>0</v>
      </c>
      <c r="BG17" s="39">
        <v>39469</v>
      </c>
      <c r="BH17" s="41">
        <v>0</v>
      </c>
      <c r="BI17" s="43">
        <v>0</v>
      </c>
      <c r="BJ17" s="43">
        <v>0</v>
      </c>
      <c r="BK17" s="43">
        <v>0</v>
      </c>
      <c r="BL17" s="39">
        <v>0</v>
      </c>
      <c r="BM17" s="41">
        <v>0</v>
      </c>
      <c r="BN17" s="43">
        <v>0</v>
      </c>
      <c r="BO17" s="43">
        <v>0</v>
      </c>
      <c r="BP17" s="43">
        <v>0</v>
      </c>
      <c r="BQ17" s="39">
        <v>0</v>
      </c>
      <c r="BR17" s="41">
        <v>318041</v>
      </c>
      <c r="BS17" s="65">
        <v>34213</v>
      </c>
      <c r="BT17" s="43">
        <v>1215</v>
      </c>
      <c r="BU17" s="43">
        <v>0</v>
      </c>
      <c r="BV17" s="41">
        <v>353469</v>
      </c>
      <c r="BW17" s="9"/>
      <c r="BX17" s="206"/>
      <c r="CA17" s="264"/>
      <c r="CB17" s="1"/>
    </row>
    <row r="18" spans="1:80" ht="13.5" x14ac:dyDescent="0.25">
      <c r="A18" s="202">
        <v>12</v>
      </c>
      <c r="B18" s="180" t="s">
        <v>196</v>
      </c>
      <c r="D18" s="204"/>
      <c r="E18" s="66">
        <v>272248</v>
      </c>
      <c r="F18" s="65">
        <v>498</v>
      </c>
      <c r="G18" s="65">
        <v>1034</v>
      </c>
      <c r="H18" s="65">
        <v>0</v>
      </c>
      <c r="I18" s="39">
        <v>273780</v>
      </c>
      <c r="J18" s="41">
        <v>17330</v>
      </c>
      <c r="K18" s="43">
        <v>0</v>
      </c>
      <c r="L18" s="43">
        <v>8</v>
      </c>
      <c r="M18" s="43">
        <v>0</v>
      </c>
      <c r="N18" s="39">
        <v>17338</v>
      </c>
      <c r="O18" s="43">
        <v>21158</v>
      </c>
      <c r="P18" s="43">
        <v>127</v>
      </c>
      <c r="Q18" s="43">
        <v>22</v>
      </c>
      <c r="R18" s="43">
        <v>0</v>
      </c>
      <c r="S18" s="39">
        <v>21307</v>
      </c>
      <c r="T18" s="41">
        <v>19149</v>
      </c>
      <c r="U18" s="43">
        <v>0</v>
      </c>
      <c r="V18" s="43">
        <v>244</v>
      </c>
      <c r="W18" s="43">
        <v>0</v>
      </c>
      <c r="X18" s="39">
        <v>19393</v>
      </c>
      <c r="Y18" s="41">
        <v>21544</v>
      </c>
      <c r="Z18" s="43">
        <v>13</v>
      </c>
      <c r="AA18" s="43">
        <v>39</v>
      </c>
      <c r="AB18" s="43">
        <v>0</v>
      </c>
      <c r="AC18" s="39">
        <v>21596</v>
      </c>
      <c r="AD18" s="41">
        <v>22178</v>
      </c>
      <c r="AE18" s="43">
        <v>104</v>
      </c>
      <c r="AF18" s="43">
        <v>265</v>
      </c>
      <c r="AG18" s="43">
        <v>0</v>
      </c>
      <c r="AH18" s="39">
        <v>22547</v>
      </c>
      <c r="AI18" s="41">
        <v>20797</v>
      </c>
      <c r="AJ18" s="43">
        <v>95</v>
      </c>
      <c r="AK18" s="43">
        <v>355</v>
      </c>
      <c r="AL18" s="43">
        <v>0</v>
      </c>
      <c r="AM18" s="39">
        <v>21247</v>
      </c>
      <c r="AN18" s="41">
        <v>23648</v>
      </c>
      <c r="AO18" s="43">
        <v>455</v>
      </c>
      <c r="AP18" s="43">
        <v>110</v>
      </c>
      <c r="AQ18" s="43">
        <v>0</v>
      </c>
      <c r="AR18" s="39">
        <v>24213</v>
      </c>
      <c r="AS18" s="41">
        <v>19325</v>
      </c>
      <c r="AT18" s="43">
        <v>247</v>
      </c>
      <c r="AU18" s="43">
        <v>2864</v>
      </c>
      <c r="AV18" s="43">
        <v>0</v>
      </c>
      <c r="AW18" s="39">
        <v>22436</v>
      </c>
      <c r="AX18" s="41">
        <v>20891</v>
      </c>
      <c r="AY18" s="43">
        <v>0</v>
      </c>
      <c r="AZ18" s="43">
        <v>70</v>
      </c>
      <c r="BA18" s="43">
        <v>0</v>
      </c>
      <c r="BB18" s="39">
        <v>20961</v>
      </c>
      <c r="BC18" s="41">
        <v>17556</v>
      </c>
      <c r="BD18" s="43">
        <v>581</v>
      </c>
      <c r="BE18" s="43">
        <v>29</v>
      </c>
      <c r="BF18" s="43">
        <v>0</v>
      </c>
      <c r="BG18" s="39">
        <v>18166</v>
      </c>
      <c r="BH18" s="41">
        <v>0</v>
      </c>
      <c r="BI18" s="43">
        <v>0</v>
      </c>
      <c r="BJ18" s="43">
        <v>0</v>
      </c>
      <c r="BK18" s="43">
        <v>0</v>
      </c>
      <c r="BL18" s="39">
        <v>0</v>
      </c>
      <c r="BM18" s="41">
        <v>0</v>
      </c>
      <c r="BN18" s="43">
        <v>0</v>
      </c>
      <c r="BO18" s="43">
        <v>0</v>
      </c>
      <c r="BP18" s="43">
        <v>0</v>
      </c>
      <c r="BQ18" s="39">
        <v>0</v>
      </c>
      <c r="BR18" s="41">
        <v>203576</v>
      </c>
      <c r="BS18" s="65">
        <v>1622</v>
      </c>
      <c r="BT18" s="43">
        <v>4006</v>
      </c>
      <c r="BU18" s="43">
        <v>0</v>
      </c>
      <c r="BV18" s="41">
        <v>209204</v>
      </c>
      <c r="BW18" s="9"/>
      <c r="BX18" s="206"/>
      <c r="CA18" s="264"/>
      <c r="CB18" s="1"/>
    </row>
    <row r="19" spans="1:80" ht="13.5" x14ac:dyDescent="0.25">
      <c r="A19" s="202">
        <v>13</v>
      </c>
      <c r="B19" s="180" t="s">
        <v>197</v>
      </c>
      <c r="D19" s="204"/>
      <c r="E19" s="66">
        <v>924895</v>
      </c>
      <c r="F19" s="65">
        <v>6788737</v>
      </c>
      <c r="G19" s="65">
        <v>10747</v>
      </c>
      <c r="H19" s="65">
        <v>0</v>
      </c>
      <c r="I19" s="39">
        <v>7724379</v>
      </c>
      <c r="J19" s="41">
        <v>53437</v>
      </c>
      <c r="K19" s="43">
        <v>1418670</v>
      </c>
      <c r="L19" s="43">
        <v>2</v>
      </c>
      <c r="M19" s="43">
        <v>0</v>
      </c>
      <c r="N19" s="39">
        <v>1472109</v>
      </c>
      <c r="O19" s="43">
        <v>44492</v>
      </c>
      <c r="P19" s="43">
        <v>138060</v>
      </c>
      <c r="Q19" s="43">
        <v>16</v>
      </c>
      <c r="R19" s="43"/>
      <c r="S19" s="39">
        <v>182568</v>
      </c>
      <c r="T19" s="41">
        <v>49357</v>
      </c>
      <c r="U19" s="43">
        <v>143523</v>
      </c>
      <c r="V19" s="43">
        <v>66</v>
      </c>
      <c r="W19" s="43"/>
      <c r="X19" s="39">
        <v>192946</v>
      </c>
      <c r="Y19" s="41">
        <v>52009</v>
      </c>
      <c r="Z19" s="43">
        <v>1101032</v>
      </c>
      <c r="AA19" s="43">
        <v>121</v>
      </c>
      <c r="AB19" s="43"/>
      <c r="AC19" s="39">
        <v>1153162</v>
      </c>
      <c r="AD19" s="41">
        <v>71641</v>
      </c>
      <c r="AE19" s="43">
        <v>304539</v>
      </c>
      <c r="AF19" s="43">
        <v>712</v>
      </c>
      <c r="AG19" s="43">
        <v>0</v>
      </c>
      <c r="AH19" s="39">
        <v>376892</v>
      </c>
      <c r="AI19" s="41">
        <v>60660</v>
      </c>
      <c r="AJ19" s="43">
        <v>203771</v>
      </c>
      <c r="AK19" s="43">
        <v>225</v>
      </c>
      <c r="AL19" s="43">
        <v>0</v>
      </c>
      <c r="AM19" s="39">
        <v>264656</v>
      </c>
      <c r="AN19" s="41">
        <v>56838</v>
      </c>
      <c r="AO19" s="43">
        <v>1307639</v>
      </c>
      <c r="AP19" s="43">
        <v>448</v>
      </c>
      <c r="AQ19" s="43">
        <v>0</v>
      </c>
      <c r="AR19" s="39">
        <v>1364925</v>
      </c>
      <c r="AS19" s="41">
        <v>59973</v>
      </c>
      <c r="AT19" s="43">
        <v>221375</v>
      </c>
      <c r="AU19" s="43">
        <v>-296</v>
      </c>
      <c r="AV19" s="43">
        <v>0</v>
      </c>
      <c r="AW19" s="39">
        <v>281052</v>
      </c>
      <c r="AX19" s="41">
        <v>63569</v>
      </c>
      <c r="AY19" s="43">
        <v>231114</v>
      </c>
      <c r="AZ19" s="43">
        <v>86</v>
      </c>
      <c r="BA19" s="43">
        <v>0</v>
      </c>
      <c r="BB19" s="39">
        <v>294769</v>
      </c>
      <c r="BC19" s="41">
        <v>45399</v>
      </c>
      <c r="BD19" s="43">
        <v>106613</v>
      </c>
      <c r="BE19" s="43">
        <v>13</v>
      </c>
      <c r="BF19" s="43"/>
      <c r="BG19" s="39">
        <v>152025</v>
      </c>
      <c r="BH19" s="41"/>
      <c r="BI19" s="43"/>
      <c r="BJ19" s="43"/>
      <c r="BK19" s="43"/>
      <c r="BL19" s="39"/>
      <c r="BM19" s="41"/>
      <c r="BN19" s="43"/>
      <c r="BO19" s="43"/>
      <c r="BP19" s="43"/>
      <c r="BQ19" s="39"/>
      <c r="BR19" s="41">
        <v>557375</v>
      </c>
      <c r="BS19" s="65">
        <v>5176336</v>
      </c>
      <c r="BT19" s="43">
        <v>1393</v>
      </c>
      <c r="BU19" s="43">
        <v>0</v>
      </c>
      <c r="BV19" s="41">
        <v>5735104</v>
      </c>
      <c r="BW19" s="9"/>
      <c r="BX19" s="206"/>
      <c r="CA19" s="264"/>
      <c r="CB19" s="1"/>
    </row>
    <row r="20" spans="1:80" ht="13.5" x14ac:dyDescent="0.25">
      <c r="A20" s="202">
        <v>14</v>
      </c>
      <c r="B20" s="203" t="s">
        <v>198</v>
      </c>
      <c r="D20" s="207"/>
      <c r="E20" s="66">
        <v>2810535</v>
      </c>
      <c r="F20" s="65">
        <v>6490</v>
      </c>
      <c r="G20" s="65">
        <v>314548</v>
      </c>
      <c r="H20" s="65">
        <v>0</v>
      </c>
      <c r="I20" s="39">
        <v>3131573</v>
      </c>
      <c r="J20" s="41">
        <v>135367</v>
      </c>
      <c r="K20" s="43">
        <v>0</v>
      </c>
      <c r="L20" s="43">
        <v>21881</v>
      </c>
      <c r="M20" s="43">
        <v>0</v>
      </c>
      <c r="N20" s="39">
        <v>157248</v>
      </c>
      <c r="O20" s="43">
        <v>140643</v>
      </c>
      <c r="P20" s="43">
        <v>5487</v>
      </c>
      <c r="Q20" s="43">
        <v>21894</v>
      </c>
      <c r="R20" s="43">
        <v>0</v>
      </c>
      <c r="S20" s="39">
        <v>168024</v>
      </c>
      <c r="T20" s="41">
        <v>137614</v>
      </c>
      <c r="U20" s="43">
        <v>53</v>
      </c>
      <c r="V20" s="43">
        <v>24192</v>
      </c>
      <c r="W20" s="43">
        <v>0</v>
      </c>
      <c r="X20" s="39">
        <v>161859</v>
      </c>
      <c r="Y20" s="41">
        <v>155245</v>
      </c>
      <c r="Z20" s="43">
        <v>6</v>
      </c>
      <c r="AA20" s="43">
        <v>22088</v>
      </c>
      <c r="AB20" s="43">
        <v>0</v>
      </c>
      <c r="AC20" s="39">
        <v>177339</v>
      </c>
      <c r="AD20" s="41">
        <v>178565</v>
      </c>
      <c r="AE20" s="43">
        <v>752</v>
      </c>
      <c r="AF20" s="43">
        <v>25970</v>
      </c>
      <c r="AG20" s="43">
        <v>0</v>
      </c>
      <c r="AH20" s="39">
        <v>205287</v>
      </c>
      <c r="AI20" s="41">
        <v>208686</v>
      </c>
      <c r="AJ20" s="43">
        <v>111</v>
      </c>
      <c r="AK20" s="43">
        <v>24989</v>
      </c>
      <c r="AL20" s="43">
        <v>0</v>
      </c>
      <c r="AM20" s="39">
        <v>233786</v>
      </c>
      <c r="AN20" s="41">
        <v>142374</v>
      </c>
      <c r="AO20" s="43">
        <v>332</v>
      </c>
      <c r="AP20" s="43">
        <v>36851</v>
      </c>
      <c r="AQ20" s="43">
        <v>0</v>
      </c>
      <c r="AR20" s="39">
        <v>179557</v>
      </c>
      <c r="AS20" s="41">
        <v>166932</v>
      </c>
      <c r="AT20" s="43">
        <v>336</v>
      </c>
      <c r="AU20" s="43">
        <v>22607</v>
      </c>
      <c r="AV20" s="43">
        <v>0</v>
      </c>
      <c r="AW20" s="39">
        <v>189875</v>
      </c>
      <c r="AX20" s="41">
        <v>154379</v>
      </c>
      <c r="AY20" s="43">
        <v>367</v>
      </c>
      <c r="AZ20" s="43">
        <v>22067</v>
      </c>
      <c r="BA20" s="43">
        <v>0</v>
      </c>
      <c r="BB20" s="39">
        <v>176813</v>
      </c>
      <c r="BC20" s="41">
        <v>141133</v>
      </c>
      <c r="BD20" s="43">
        <v>483</v>
      </c>
      <c r="BE20" s="43">
        <v>25521</v>
      </c>
      <c r="BF20" s="43">
        <v>0</v>
      </c>
      <c r="BG20" s="39">
        <v>167137</v>
      </c>
      <c r="BH20" s="41">
        <v>0</v>
      </c>
      <c r="BI20" s="43">
        <v>0</v>
      </c>
      <c r="BJ20" s="43">
        <v>0</v>
      </c>
      <c r="BK20" s="43">
        <v>0</v>
      </c>
      <c r="BL20" s="39">
        <v>0</v>
      </c>
      <c r="BM20" s="41">
        <v>0</v>
      </c>
      <c r="BN20" s="43">
        <v>0</v>
      </c>
      <c r="BO20" s="43">
        <v>0</v>
      </c>
      <c r="BP20" s="43">
        <v>0</v>
      </c>
      <c r="BQ20" s="39">
        <v>0</v>
      </c>
      <c r="BR20" s="41">
        <v>1560938</v>
      </c>
      <c r="BS20" s="65">
        <v>7927</v>
      </c>
      <c r="BT20" s="43">
        <v>248060</v>
      </c>
      <c r="BU20" s="43">
        <v>0</v>
      </c>
      <c r="BV20" s="41">
        <v>1816925</v>
      </c>
      <c r="BW20" s="9"/>
      <c r="BX20" s="206"/>
      <c r="CA20" s="264"/>
      <c r="CB20" s="1"/>
    </row>
    <row r="21" spans="1:80" ht="13.5" x14ac:dyDescent="0.25">
      <c r="A21" s="202">
        <v>15</v>
      </c>
      <c r="B21" s="203" t="s">
        <v>199</v>
      </c>
      <c r="D21" s="207"/>
      <c r="E21" s="66">
        <v>112772</v>
      </c>
      <c r="F21" s="65">
        <v>46058</v>
      </c>
      <c r="G21" s="65">
        <v>2855</v>
      </c>
      <c r="H21" s="65">
        <v>0</v>
      </c>
      <c r="I21" s="39">
        <v>161685</v>
      </c>
      <c r="J21" s="41">
        <v>7125</v>
      </c>
      <c r="K21" s="43">
        <v>11929</v>
      </c>
      <c r="L21" s="43">
        <v>63</v>
      </c>
      <c r="M21" s="43">
        <v>0</v>
      </c>
      <c r="N21" s="39">
        <v>19117</v>
      </c>
      <c r="O21" s="43">
        <v>6020</v>
      </c>
      <c r="P21" s="43">
        <v>9</v>
      </c>
      <c r="Q21" s="43">
        <v>51</v>
      </c>
      <c r="R21" s="43"/>
      <c r="S21" s="39">
        <v>6080</v>
      </c>
      <c r="T21" s="41">
        <v>5988</v>
      </c>
      <c r="U21" s="43">
        <v>0</v>
      </c>
      <c r="V21" s="43">
        <v>50</v>
      </c>
      <c r="W21" s="43">
        <v>0</v>
      </c>
      <c r="X21" s="39">
        <v>6038</v>
      </c>
      <c r="Y21" s="41">
        <v>6671</v>
      </c>
      <c r="Z21" s="43">
        <v>11912</v>
      </c>
      <c r="AA21" s="43">
        <v>62</v>
      </c>
      <c r="AB21" s="43"/>
      <c r="AC21" s="39">
        <v>18645</v>
      </c>
      <c r="AD21" s="41">
        <v>6661</v>
      </c>
      <c r="AE21" s="43">
        <v>0</v>
      </c>
      <c r="AF21" s="43">
        <v>49</v>
      </c>
      <c r="AG21" s="43">
        <v>0</v>
      </c>
      <c r="AH21" s="39">
        <v>6710</v>
      </c>
      <c r="AI21" s="41">
        <v>7707</v>
      </c>
      <c r="AJ21" s="43">
        <v>2</v>
      </c>
      <c r="AK21" s="43">
        <v>49</v>
      </c>
      <c r="AL21" s="43">
        <v>0</v>
      </c>
      <c r="AM21" s="39">
        <v>7758</v>
      </c>
      <c r="AN21" s="41">
        <v>7614</v>
      </c>
      <c r="AO21" s="43">
        <v>10</v>
      </c>
      <c r="AP21" s="43">
        <v>0</v>
      </c>
      <c r="AQ21" s="43">
        <v>0</v>
      </c>
      <c r="AR21" s="39">
        <v>7624</v>
      </c>
      <c r="AS21" s="41">
        <v>6786</v>
      </c>
      <c r="AT21" s="43">
        <v>11915</v>
      </c>
      <c r="AU21" s="43">
        <v>98</v>
      </c>
      <c r="AV21" s="43">
        <v>0</v>
      </c>
      <c r="AW21" s="39">
        <v>18799</v>
      </c>
      <c r="AX21" s="41">
        <v>7998</v>
      </c>
      <c r="AY21" s="43">
        <v>1087</v>
      </c>
      <c r="AZ21" s="43">
        <v>429</v>
      </c>
      <c r="BA21" s="43">
        <v>0</v>
      </c>
      <c r="BB21" s="39">
        <v>9514</v>
      </c>
      <c r="BC21" s="41">
        <v>7050</v>
      </c>
      <c r="BD21" s="43">
        <v>10300</v>
      </c>
      <c r="BE21" s="43">
        <v>54</v>
      </c>
      <c r="BF21" s="43"/>
      <c r="BG21" s="39">
        <v>17404</v>
      </c>
      <c r="BH21" s="41"/>
      <c r="BI21" s="43"/>
      <c r="BJ21" s="43"/>
      <c r="BK21" s="43"/>
      <c r="BL21" s="39"/>
      <c r="BM21" s="41"/>
      <c r="BN21" s="43"/>
      <c r="BO21" s="43"/>
      <c r="BP21" s="43"/>
      <c r="BQ21" s="39"/>
      <c r="BR21" s="41">
        <v>69620</v>
      </c>
      <c r="BS21" s="65">
        <v>47164</v>
      </c>
      <c r="BT21" s="43">
        <v>905</v>
      </c>
      <c r="BU21" s="43">
        <v>0</v>
      </c>
      <c r="BV21" s="41">
        <v>117689</v>
      </c>
      <c r="BW21" s="9"/>
      <c r="BX21" s="206"/>
      <c r="CA21" s="264"/>
      <c r="CB21" s="1"/>
    </row>
    <row r="22" spans="1:80" ht="13.5" x14ac:dyDescent="0.25">
      <c r="A22" s="202">
        <v>16</v>
      </c>
      <c r="B22" s="203" t="s">
        <v>200</v>
      </c>
      <c r="D22" s="204"/>
      <c r="E22" s="66">
        <v>2347809</v>
      </c>
      <c r="F22" s="65">
        <v>18794943</v>
      </c>
      <c r="G22" s="65">
        <v>2252220</v>
      </c>
      <c r="H22" s="65">
        <v>0</v>
      </c>
      <c r="I22" s="39">
        <v>23394972</v>
      </c>
      <c r="J22" s="41">
        <v>57684</v>
      </c>
      <c r="K22" s="43">
        <v>3109719</v>
      </c>
      <c r="L22" s="43">
        <v>8522</v>
      </c>
      <c r="M22" s="43">
        <v>0</v>
      </c>
      <c r="N22" s="39">
        <v>3175925</v>
      </c>
      <c r="O22" s="43">
        <v>65633</v>
      </c>
      <c r="P22" s="43">
        <v>3568074</v>
      </c>
      <c r="Q22" s="43">
        <v>4480</v>
      </c>
      <c r="R22" s="43">
        <v>0</v>
      </c>
      <c r="S22" s="39">
        <v>3638187</v>
      </c>
      <c r="T22" s="41">
        <v>68020</v>
      </c>
      <c r="U22" s="43">
        <v>722524</v>
      </c>
      <c r="V22" s="43">
        <v>16584</v>
      </c>
      <c r="W22" s="43">
        <v>0</v>
      </c>
      <c r="X22" s="39">
        <v>807128</v>
      </c>
      <c r="Y22" s="41">
        <v>102392</v>
      </c>
      <c r="Z22" s="43">
        <v>1439251</v>
      </c>
      <c r="AA22" s="43">
        <v>2348</v>
      </c>
      <c r="AB22" s="43">
        <v>0</v>
      </c>
      <c r="AC22" s="39">
        <v>1543991</v>
      </c>
      <c r="AD22" s="41">
        <v>104252</v>
      </c>
      <c r="AE22" s="43">
        <v>2486319</v>
      </c>
      <c r="AF22" s="43">
        <v>16033</v>
      </c>
      <c r="AG22" s="43">
        <v>0</v>
      </c>
      <c r="AH22" s="39">
        <v>2606604</v>
      </c>
      <c r="AI22" s="41">
        <v>497990</v>
      </c>
      <c r="AJ22" s="43">
        <v>568575</v>
      </c>
      <c r="AK22" s="43">
        <v>12138</v>
      </c>
      <c r="AL22" s="43">
        <v>181</v>
      </c>
      <c r="AM22" s="39">
        <v>1078884</v>
      </c>
      <c r="AN22" s="41">
        <v>162767</v>
      </c>
      <c r="AO22" s="43">
        <v>1275278</v>
      </c>
      <c r="AP22" s="43">
        <v>324702</v>
      </c>
      <c r="AQ22" s="43">
        <v>1</v>
      </c>
      <c r="AR22" s="39">
        <v>1762748</v>
      </c>
      <c r="AS22" s="41">
        <v>190512</v>
      </c>
      <c r="AT22" s="43">
        <v>1992545</v>
      </c>
      <c r="AU22" s="43">
        <v>151348</v>
      </c>
      <c r="AV22" s="43">
        <v>211</v>
      </c>
      <c r="AW22" s="39">
        <v>2334616</v>
      </c>
      <c r="AX22" s="41">
        <v>656287</v>
      </c>
      <c r="AY22" s="43">
        <v>729858</v>
      </c>
      <c r="AZ22" s="43">
        <v>69042</v>
      </c>
      <c r="BA22" s="43">
        <v>9</v>
      </c>
      <c r="BB22" s="39">
        <v>1455196</v>
      </c>
      <c r="BC22" s="41">
        <v>67001</v>
      </c>
      <c r="BD22" s="43">
        <v>2753472</v>
      </c>
      <c r="BE22" s="43">
        <v>69735</v>
      </c>
      <c r="BF22" s="43">
        <v>0</v>
      </c>
      <c r="BG22" s="39">
        <v>2890208</v>
      </c>
      <c r="BH22" s="41">
        <v>0</v>
      </c>
      <c r="BI22" s="43">
        <v>0</v>
      </c>
      <c r="BJ22" s="43">
        <v>0</v>
      </c>
      <c r="BK22" s="43">
        <v>0</v>
      </c>
      <c r="BL22" s="39">
        <v>0</v>
      </c>
      <c r="BM22" s="41">
        <v>0</v>
      </c>
      <c r="BN22" s="43">
        <v>0</v>
      </c>
      <c r="BO22" s="43">
        <v>0</v>
      </c>
      <c r="BP22" s="43">
        <v>0</v>
      </c>
      <c r="BQ22" s="39">
        <v>0</v>
      </c>
      <c r="BR22" s="41">
        <v>1972538</v>
      </c>
      <c r="BS22" s="65">
        <v>18645615</v>
      </c>
      <c r="BT22" s="43">
        <v>674932</v>
      </c>
      <c r="BU22" s="43">
        <v>402</v>
      </c>
      <c r="BV22" s="41">
        <v>21293487</v>
      </c>
      <c r="BW22" s="9"/>
      <c r="BX22" s="206"/>
      <c r="CA22" s="264"/>
      <c r="CB22" s="1"/>
    </row>
    <row r="23" spans="1:80" ht="13.5" x14ac:dyDescent="0.25">
      <c r="A23" s="202">
        <v>17</v>
      </c>
      <c r="B23" s="203" t="s">
        <v>201</v>
      </c>
      <c r="D23" s="204"/>
      <c r="E23" s="66">
        <v>10079650</v>
      </c>
      <c r="F23" s="65">
        <v>83992019</v>
      </c>
      <c r="G23" s="65">
        <v>23275</v>
      </c>
      <c r="H23" s="65">
        <v>0</v>
      </c>
      <c r="I23" s="39">
        <v>94094944</v>
      </c>
      <c r="J23" s="41">
        <v>700086</v>
      </c>
      <c r="K23" s="43">
        <v>18750650</v>
      </c>
      <c r="L23" s="43">
        <v>12</v>
      </c>
      <c r="M23" s="43">
        <v>0</v>
      </c>
      <c r="N23" s="39">
        <v>19450748</v>
      </c>
      <c r="O23" s="43">
        <v>714467</v>
      </c>
      <c r="P23" s="43">
        <v>10026372</v>
      </c>
      <c r="Q23" s="43">
        <v>5494</v>
      </c>
      <c r="R23" s="43">
        <v>0</v>
      </c>
      <c r="S23" s="39">
        <v>10746333</v>
      </c>
      <c r="T23" s="41">
        <v>713268</v>
      </c>
      <c r="U23" s="43">
        <v>7889601</v>
      </c>
      <c r="V23" s="43">
        <v>685</v>
      </c>
      <c r="W23" s="43">
        <v>0</v>
      </c>
      <c r="X23" s="39">
        <v>8603554</v>
      </c>
      <c r="Y23" s="41">
        <v>732364</v>
      </c>
      <c r="Z23" s="43">
        <v>197468</v>
      </c>
      <c r="AA23" s="43">
        <v>1171</v>
      </c>
      <c r="AB23" s="43">
        <v>0</v>
      </c>
      <c r="AC23" s="39">
        <v>931003</v>
      </c>
      <c r="AD23" s="41">
        <v>739254</v>
      </c>
      <c r="AE23" s="43">
        <v>20754593</v>
      </c>
      <c r="AF23" s="43">
        <v>-3945</v>
      </c>
      <c r="AG23" s="43">
        <v>0</v>
      </c>
      <c r="AH23" s="39">
        <v>21489902</v>
      </c>
      <c r="AI23" s="41">
        <v>843420</v>
      </c>
      <c r="AJ23" s="43">
        <v>11829174</v>
      </c>
      <c r="AK23" s="43">
        <v>-551</v>
      </c>
      <c r="AL23" s="43">
        <v>2</v>
      </c>
      <c r="AM23" s="39">
        <v>12672045</v>
      </c>
      <c r="AN23" s="41">
        <v>723492</v>
      </c>
      <c r="AO23" s="43">
        <v>5551232</v>
      </c>
      <c r="AP23" s="43">
        <v>1021</v>
      </c>
      <c r="AQ23" s="43">
        <v>0</v>
      </c>
      <c r="AR23" s="39">
        <v>6275745</v>
      </c>
      <c r="AS23" s="41">
        <v>754890</v>
      </c>
      <c r="AT23" s="43">
        <v>5384260</v>
      </c>
      <c r="AU23" s="43">
        <v>529</v>
      </c>
      <c r="AV23" s="43">
        <v>0</v>
      </c>
      <c r="AW23" s="39">
        <v>6139679</v>
      </c>
      <c r="AX23" s="41">
        <v>882226</v>
      </c>
      <c r="AY23" s="43">
        <v>221355</v>
      </c>
      <c r="AZ23" s="43">
        <v>231</v>
      </c>
      <c r="BA23" s="43">
        <v>0</v>
      </c>
      <c r="BB23" s="39">
        <v>1103812</v>
      </c>
      <c r="BC23" s="41">
        <v>711134</v>
      </c>
      <c r="BD23" s="43">
        <v>1808230</v>
      </c>
      <c r="BE23" s="43">
        <v>190</v>
      </c>
      <c r="BF23" s="43">
        <v>0</v>
      </c>
      <c r="BG23" s="39">
        <v>2519554</v>
      </c>
      <c r="BH23" s="41">
        <v>0</v>
      </c>
      <c r="BI23" s="43">
        <v>0</v>
      </c>
      <c r="BJ23" s="43">
        <v>0</v>
      </c>
      <c r="BK23" s="43">
        <v>0</v>
      </c>
      <c r="BL23" s="39">
        <v>0</v>
      </c>
      <c r="BM23" s="41">
        <v>0</v>
      </c>
      <c r="BN23" s="43">
        <v>0</v>
      </c>
      <c r="BO23" s="43">
        <v>0</v>
      </c>
      <c r="BP23" s="43">
        <v>0</v>
      </c>
      <c r="BQ23" s="39">
        <v>0</v>
      </c>
      <c r="BR23" s="41">
        <v>7514601</v>
      </c>
      <c r="BS23" s="65">
        <v>82412935</v>
      </c>
      <c r="BT23" s="43">
        <v>4837</v>
      </c>
      <c r="BU23" s="43">
        <v>2</v>
      </c>
      <c r="BV23" s="41">
        <v>89932375</v>
      </c>
      <c r="BW23" s="9"/>
      <c r="BX23" s="206"/>
      <c r="CA23" s="264"/>
      <c r="CB23" s="1"/>
    </row>
    <row r="24" spans="1:80" ht="13.5" x14ac:dyDescent="0.25">
      <c r="A24" s="202">
        <v>18</v>
      </c>
      <c r="B24" s="203" t="s">
        <v>202</v>
      </c>
      <c r="D24" s="209"/>
      <c r="E24" s="66">
        <v>3090429</v>
      </c>
      <c r="F24" s="65">
        <v>54166534</v>
      </c>
      <c r="G24" s="65">
        <v>795633</v>
      </c>
      <c r="H24" s="65">
        <v>0</v>
      </c>
      <c r="I24" s="39">
        <v>58052596</v>
      </c>
      <c r="J24" s="41">
        <v>160993</v>
      </c>
      <c r="K24" s="43">
        <v>5064136</v>
      </c>
      <c r="L24" s="43">
        <v>41738</v>
      </c>
      <c r="M24" s="43">
        <v>0</v>
      </c>
      <c r="N24" s="39">
        <v>5266867</v>
      </c>
      <c r="O24" s="43">
        <v>214485</v>
      </c>
      <c r="P24" s="43">
        <v>3604496</v>
      </c>
      <c r="Q24" s="43">
        <v>406945</v>
      </c>
      <c r="R24" s="43">
        <v>0</v>
      </c>
      <c r="S24" s="39">
        <v>4225926</v>
      </c>
      <c r="T24" s="41">
        <v>151588</v>
      </c>
      <c r="U24" s="43">
        <v>3760201</v>
      </c>
      <c r="V24" s="43">
        <v>-330458</v>
      </c>
      <c r="W24" s="43">
        <v>0</v>
      </c>
      <c r="X24" s="39">
        <v>3581331</v>
      </c>
      <c r="Y24" s="41">
        <v>253655</v>
      </c>
      <c r="Z24" s="43">
        <v>5610378</v>
      </c>
      <c r="AA24" s="43">
        <v>217497</v>
      </c>
      <c r="AB24" s="43">
        <v>0</v>
      </c>
      <c r="AC24" s="39">
        <v>6081530</v>
      </c>
      <c r="AD24" s="41">
        <v>161946</v>
      </c>
      <c r="AE24" s="43">
        <v>4026359</v>
      </c>
      <c r="AF24" s="43">
        <v>49127</v>
      </c>
      <c r="AG24" s="43">
        <v>0</v>
      </c>
      <c r="AH24" s="39">
        <v>4237432</v>
      </c>
      <c r="AI24" s="41">
        <v>199306</v>
      </c>
      <c r="AJ24" s="43">
        <v>3846099</v>
      </c>
      <c r="AK24" s="43">
        <v>14444</v>
      </c>
      <c r="AL24" s="43">
        <v>0</v>
      </c>
      <c r="AM24" s="39">
        <v>4059849</v>
      </c>
      <c r="AN24" s="41">
        <v>160032</v>
      </c>
      <c r="AO24" s="43">
        <v>5995795</v>
      </c>
      <c r="AP24" s="43">
        <v>38207</v>
      </c>
      <c r="AQ24" s="43">
        <v>0</v>
      </c>
      <c r="AR24" s="39">
        <v>6194034</v>
      </c>
      <c r="AS24" s="41">
        <v>273288</v>
      </c>
      <c r="AT24" s="43">
        <v>3960471</v>
      </c>
      <c r="AU24" s="43">
        <v>127610</v>
      </c>
      <c r="AV24" s="43">
        <v>0</v>
      </c>
      <c r="AW24" s="39">
        <v>4361369</v>
      </c>
      <c r="AX24" s="41">
        <v>140230</v>
      </c>
      <c r="AY24" s="43">
        <v>4081249</v>
      </c>
      <c r="AZ24" s="43">
        <v>65124</v>
      </c>
      <c r="BA24" s="43">
        <v>0</v>
      </c>
      <c r="BB24" s="39">
        <v>4286603</v>
      </c>
      <c r="BC24" s="41">
        <v>194221</v>
      </c>
      <c r="BD24" s="43">
        <v>6328023</v>
      </c>
      <c r="BE24" s="43">
        <v>5768</v>
      </c>
      <c r="BF24" s="43">
        <v>0</v>
      </c>
      <c r="BG24" s="39">
        <v>6528012</v>
      </c>
      <c r="BH24" s="41">
        <v>0</v>
      </c>
      <c r="BI24" s="43">
        <v>0</v>
      </c>
      <c r="BJ24" s="43">
        <v>0</v>
      </c>
      <c r="BK24" s="43">
        <v>0</v>
      </c>
      <c r="BL24" s="39">
        <v>0</v>
      </c>
      <c r="BM24" s="41">
        <v>0</v>
      </c>
      <c r="BN24" s="43">
        <v>0</v>
      </c>
      <c r="BO24" s="43">
        <v>0</v>
      </c>
      <c r="BP24" s="43">
        <v>0</v>
      </c>
      <c r="BQ24" s="39">
        <v>0</v>
      </c>
      <c r="BR24" s="41">
        <v>1909744</v>
      </c>
      <c r="BS24" s="65">
        <v>46277207</v>
      </c>
      <c r="BT24" s="43">
        <v>636002</v>
      </c>
      <c r="BU24" s="43">
        <v>0</v>
      </c>
      <c r="BV24" s="41">
        <v>48822953</v>
      </c>
      <c r="BW24" s="9"/>
      <c r="BX24" s="208"/>
      <c r="CA24" s="264"/>
      <c r="CB24" s="1"/>
    </row>
    <row r="25" spans="1:80" ht="13.5" x14ac:dyDescent="0.25">
      <c r="A25" s="211">
        <v>19</v>
      </c>
      <c r="B25" s="212" t="s">
        <v>203</v>
      </c>
      <c r="D25" s="207" t="s">
        <v>59</v>
      </c>
      <c r="E25" s="66">
        <v>999530</v>
      </c>
      <c r="F25" s="65">
        <v>229795842</v>
      </c>
      <c r="G25" s="65">
        <v>11926</v>
      </c>
      <c r="H25" s="65">
        <v>0</v>
      </c>
      <c r="I25" s="39">
        <v>230807298</v>
      </c>
      <c r="J25" s="41">
        <v>43998</v>
      </c>
      <c r="K25" s="43">
        <v>855041</v>
      </c>
      <c r="L25" s="43">
        <v>0</v>
      </c>
      <c r="M25" s="43">
        <v>0</v>
      </c>
      <c r="N25" s="39">
        <v>899039</v>
      </c>
      <c r="O25" s="43">
        <v>60471</v>
      </c>
      <c r="P25" s="43">
        <v>21334558</v>
      </c>
      <c r="Q25" s="43">
        <v>85</v>
      </c>
      <c r="R25" s="43">
        <v>0</v>
      </c>
      <c r="S25" s="39">
        <v>21395114</v>
      </c>
      <c r="T25" s="41">
        <v>56813</v>
      </c>
      <c r="U25" s="43">
        <v>21174112</v>
      </c>
      <c r="V25" s="43">
        <v>627</v>
      </c>
      <c r="W25" s="43">
        <v>0</v>
      </c>
      <c r="X25" s="39">
        <v>21231552</v>
      </c>
      <c r="Y25" s="41">
        <v>61229</v>
      </c>
      <c r="Z25" s="43">
        <v>33784073</v>
      </c>
      <c r="AA25" s="43">
        <v>1609</v>
      </c>
      <c r="AB25" s="43">
        <v>0</v>
      </c>
      <c r="AC25" s="39">
        <v>33846911</v>
      </c>
      <c r="AD25" s="41">
        <v>56306</v>
      </c>
      <c r="AE25" s="43">
        <v>12761046</v>
      </c>
      <c r="AF25" s="43">
        <v>222</v>
      </c>
      <c r="AG25" s="43">
        <v>0</v>
      </c>
      <c r="AH25" s="39">
        <v>12817574</v>
      </c>
      <c r="AI25" s="41">
        <v>52085</v>
      </c>
      <c r="AJ25" s="43">
        <v>22290720</v>
      </c>
      <c r="AK25" s="43">
        <v>214</v>
      </c>
      <c r="AL25" s="43">
        <v>0</v>
      </c>
      <c r="AM25" s="39">
        <v>22343019</v>
      </c>
      <c r="AN25" s="41">
        <v>74574</v>
      </c>
      <c r="AO25" s="43">
        <v>26846364</v>
      </c>
      <c r="AP25" s="43">
        <v>3777</v>
      </c>
      <c r="AQ25" s="43">
        <v>0</v>
      </c>
      <c r="AR25" s="39">
        <v>26924715</v>
      </c>
      <c r="AS25" s="41">
        <v>65296</v>
      </c>
      <c r="AT25" s="43">
        <v>18551837</v>
      </c>
      <c r="AU25" s="43">
        <v>215</v>
      </c>
      <c r="AV25" s="43">
        <v>0</v>
      </c>
      <c r="AW25" s="39">
        <v>18617348</v>
      </c>
      <c r="AX25" s="41">
        <v>75099</v>
      </c>
      <c r="AY25" s="43">
        <v>18047499</v>
      </c>
      <c r="AZ25" s="43">
        <v>-219</v>
      </c>
      <c r="BA25" s="43">
        <v>0</v>
      </c>
      <c r="BB25" s="39">
        <v>18122379</v>
      </c>
      <c r="BC25" s="41">
        <v>63379</v>
      </c>
      <c r="BD25" s="43">
        <v>18508528</v>
      </c>
      <c r="BE25" s="43">
        <v>466</v>
      </c>
      <c r="BF25" s="43">
        <v>0</v>
      </c>
      <c r="BG25" s="39">
        <v>18572373</v>
      </c>
      <c r="BH25" s="41">
        <v>0</v>
      </c>
      <c r="BI25" s="43">
        <v>0</v>
      </c>
      <c r="BJ25" s="43">
        <v>0</v>
      </c>
      <c r="BK25" s="43">
        <v>0</v>
      </c>
      <c r="BL25" s="39">
        <v>0</v>
      </c>
      <c r="BM25" s="41">
        <v>0</v>
      </c>
      <c r="BN25" s="43">
        <v>0</v>
      </c>
      <c r="BO25" s="43">
        <v>0</v>
      </c>
      <c r="BP25" s="43">
        <v>0</v>
      </c>
      <c r="BQ25" s="39">
        <v>0</v>
      </c>
      <c r="BR25" s="41">
        <v>609250</v>
      </c>
      <c r="BS25" s="65">
        <v>194153778</v>
      </c>
      <c r="BT25" s="43">
        <v>6996</v>
      </c>
      <c r="BU25" s="43">
        <v>0</v>
      </c>
      <c r="BV25" s="41">
        <v>194770024</v>
      </c>
      <c r="BW25" s="9"/>
      <c r="BX25" s="208"/>
      <c r="CA25" s="264"/>
      <c r="CB25" s="1"/>
    </row>
    <row r="26" spans="1:80" ht="13.5" x14ac:dyDescent="0.25">
      <c r="A26" s="211">
        <v>20</v>
      </c>
      <c r="B26" s="620" t="s">
        <v>204</v>
      </c>
      <c r="C26" s="620"/>
      <c r="D26" s="204"/>
      <c r="E26" s="66">
        <v>170642</v>
      </c>
      <c r="F26" s="65">
        <v>446653</v>
      </c>
      <c r="G26" s="65">
        <v>3681</v>
      </c>
      <c r="H26" s="65">
        <v>0</v>
      </c>
      <c r="I26" s="39">
        <v>620976</v>
      </c>
      <c r="J26" s="41">
        <v>11804</v>
      </c>
      <c r="K26" s="43">
        <v>7489</v>
      </c>
      <c r="L26" s="43">
        <v>2</v>
      </c>
      <c r="M26" s="43">
        <v>0</v>
      </c>
      <c r="N26" s="39">
        <v>19295</v>
      </c>
      <c r="O26" s="43">
        <v>10986</v>
      </c>
      <c r="P26" s="43">
        <v>127530</v>
      </c>
      <c r="Q26" s="43">
        <v>11</v>
      </c>
      <c r="R26" s="43"/>
      <c r="S26" s="39">
        <v>138527</v>
      </c>
      <c r="T26" s="41">
        <v>10312</v>
      </c>
      <c r="U26" s="43">
        <v>7489</v>
      </c>
      <c r="V26" s="43">
        <v>154</v>
      </c>
      <c r="W26" s="43">
        <v>0</v>
      </c>
      <c r="X26" s="39">
        <v>17955</v>
      </c>
      <c r="Y26" s="41">
        <v>9799</v>
      </c>
      <c r="Z26" s="43">
        <v>7601</v>
      </c>
      <c r="AA26" s="43">
        <v>22</v>
      </c>
      <c r="AB26" s="43"/>
      <c r="AC26" s="39">
        <v>17422</v>
      </c>
      <c r="AD26" s="41">
        <v>11235</v>
      </c>
      <c r="AE26" s="43">
        <v>127489</v>
      </c>
      <c r="AF26" s="43">
        <v>1210</v>
      </c>
      <c r="AG26" s="43">
        <v>0</v>
      </c>
      <c r="AH26" s="39">
        <v>139934</v>
      </c>
      <c r="AI26" s="41">
        <v>11159</v>
      </c>
      <c r="AJ26" s="43">
        <v>-7489</v>
      </c>
      <c r="AK26" s="43">
        <v>48</v>
      </c>
      <c r="AL26" s="43">
        <v>0</v>
      </c>
      <c r="AM26" s="39">
        <v>3718</v>
      </c>
      <c r="AN26" s="41">
        <v>12503</v>
      </c>
      <c r="AO26" s="43">
        <v>6371</v>
      </c>
      <c r="AP26" s="43">
        <v>11</v>
      </c>
      <c r="AQ26" s="43">
        <v>0</v>
      </c>
      <c r="AR26" s="39">
        <v>18885</v>
      </c>
      <c r="AS26" s="41">
        <v>16210</v>
      </c>
      <c r="AT26" s="43">
        <v>119093</v>
      </c>
      <c r="AU26" s="43">
        <v>183</v>
      </c>
      <c r="AV26" s="43">
        <v>0</v>
      </c>
      <c r="AW26" s="39">
        <v>135486</v>
      </c>
      <c r="AX26" s="41">
        <v>14570</v>
      </c>
      <c r="AY26" s="43">
        <v>6108</v>
      </c>
      <c r="AZ26" s="43">
        <v>7</v>
      </c>
      <c r="BA26" s="43">
        <v>0</v>
      </c>
      <c r="BB26" s="39">
        <v>20685</v>
      </c>
      <c r="BC26" s="41">
        <v>10405</v>
      </c>
      <c r="BD26" s="43">
        <v>6108</v>
      </c>
      <c r="BE26" s="43">
        <v>13</v>
      </c>
      <c r="BF26" s="43"/>
      <c r="BG26" s="39">
        <v>16526</v>
      </c>
      <c r="BH26" s="41"/>
      <c r="BI26" s="43"/>
      <c r="BJ26" s="43"/>
      <c r="BK26" s="43"/>
      <c r="BL26" s="39"/>
      <c r="BM26" s="41"/>
      <c r="BN26" s="43"/>
      <c r="BO26" s="43"/>
      <c r="BP26" s="43"/>
      <c r="BQ26" s="39"/>
      <c r="BR26" s="41">
        <v>118983</v>
      </c>
      <c r="BS26" s="65">
        <v>407789</v>
      </c>
      <c r="BT26" s="43">
        <v>1661</v>
      </c>
      <c r="BU26" s="43">
        <v>0</v>
      </c>
      <c r="BV26" s="41">
        <v>528433</v>
      </c>
      <c r="BW26" s="9"/>
      <c r="BX26" s="208"/>
      <c r="CA26" s="264"/>
      <c r="CB26" s="1"/>
    </row>
    <row r="27" spans="1:80" ht="13.5" x14ac:dyDescent="0.25">
      <c r="A27" s="211">
        <v>21</v>
      </c>
      <c r="B27" s="213" t="s">
        <v>205</v>
      </c>
      <c r="C27" s="213"/>
      <c r="D27" s="204"/>
      <c r="E27" s="66">
        <v>135009</v>
      </c>
      <c r="F27" s="65">
        <v>688</v>
      </c>
      <c r="G27" s="65">
        <v>1471</v>
      </c>
      <c r="H27" s="65">
        <v>0</v>
      </c>
      <c r="I27" s="39">
        <v>137168</v>
      </c>
      <c r="J27" s="41">
        <v>8666</v>
      </c>
      <c r="K27" s="43">
        <v>14</v>
      </c>
      <c r="L27" s="43">
        <v>0</v>
      </c>
      <c r="M27" s="43">
        <v>0</v>
      </c>
      <c r="N27" s="39">
        <v>8680</v>
      </c>
      <c r="O27" s="43">
        <v>9183</v>
      </c>
      <c r="P27" s="43">
        <v>292</v>
      </c>
      <c r="Q27" s="43">
        <v>14</v>
      </c>
      <c r="R27" s="43">
        <v>0</v>
      </c>
      <c r="S27" s="39">
        <v>9489</v>
      </c>
      <c r="T27" s="41">
        <v>8188</v>
      </c>
      <c r="U27" s="43">
        <v>171</v>
      </c>
      <c r="V27" s="43">
        <v>14</v>
      </c>
      <c r="W27" s="43">
        <v>0</v>
      </c>
      <c r="X27" s="39">
        <v>8373</v>
      </c>
      <c r="Y27" s="41">
        <v>9578</v>
      </c>
      <c r="Z27" s="43">
        <v>0</v>
      </c>
      <c r="AA27" s="43">
        <v>29</v>
      </c>
      <c r="AB27" s="43">
        <v>0</v>
      </c>
      <c r="AC27" s="39">
        <v>9607</v>
      </c>
      <c r="AD27" s="41">
        <v>8960</v>
      </c>
      <c r="AE27" s="43">
        <v>0</v>
      </c>
      <c r="AF27" s="43">
        <v>15</v>
      </c>
      <c r="AG27" s="43">
        <v>0</v>
      </c>
      <c r="AH27" s="39">
        <v>8975</v>
      </c>
      <c r="AI27" s="41">
        <v>8958</v>
      </c>
      <c r="AJ27" s="43">
        <v>0</v>
      </c>
      <c r="AK27" s="43">
        <v>24</v>
      </c>
      <c r="AL27" s="43">
        <v>0</v>
      </c>
      <c r="AM27" s="39">
        <v>8982</v>
      </c>
      <c r="AN27" s="41">
        <v>10083</v>
      </c>
      <c r="AO27" s="43">
        <v>19</v>
      </c>
      <c r="AP27" s="43">
        <v>14</v>
      </c>
      <c r="AQ27" s="43">
        <v>0</v>
      </c>
      <c r="AR27" s="39">
        <v>10116</v>
      </c>
      <c r="AS27" s="41">
        <v>13298</v>
      </c>
      <c r="AT27" s="43">
        <v>2</v>
      </c>
      <c r="AU27" s="43">
        <v>874</v>
      </c>
      <c r="AV27" s="43">
        <v>0</v>
      </c>
      <c r="AW27" s="39">
        <v>14174</v>
      </c>
      <c r="AX27" s="41">
        <v>10894</v>
      </c>
      <c r="AY27" s="43">
        <v>172</v>
      </c>
      <c r="AZ27" s="43">
        <v>14</v>
      </c>
      <c r="BA27" s="43">
        <v>0</v>
      </c>
      <c r="BB27" s="39">
        <v>11080</v>
      </c>
      <c r="BC27" s="41">
        <v>8886</v>
      </c>
      <c r="BD27" s="43"/>
      <c r="BE27" s="43">
        <v>22</v>
      </c>
      <c r="BF27" s="43"/>
      <c r="BG27" s="39">
        <v>8908</v>
      </c>
      <c r="BH27" s="41"/>
      <c r="BI27" s="43"/>
      <c r="BJ27" s="43"/>
      <c r="BK27" s="43"/>
      <c r="BL27" s="39"/>
      <c r="BM27" s="41"/>
      <c r="BN27" s="43"/>
      <c r="BO27" s="43"/>
      <c r="BP27" s="43"/>
      <c r="BQ27" s="39"/>
      <c r="BR27" s="41">
        <v>96694</v>
      </c>
      <c r="BS27" s="65">
        <v>670</v>
      </c>
      <c r="BT27" s="43">
        <v>1020</v>
      </c>
      <c r="BU27" s="43">
        <v>0</v>
      </c>
      <c r="BV27" s="41">
        <v>98384</v>
      </c>
      <c r="BW27" s="9"/>
      <c r="BX27" s="206"/>
      <c r="CA27" s="264"/>
      <c r="CB27" s="1"/>
    </row>
    <row r="28" spans="1:80" ht="13.5" x14ac:dyDescent="0.25">
      <c r="A28" s="202">
        <v>22</v>
      </c>
      <c r="B28" s="203" t="s">
        <v>206</v>
      </c>
      <c r="D28" s="214"/>
      <c r="E28" s="66">
        <v>23835465</v>
      </c>
      <c r="F28" s="65">
        <v>1040581</v>
      </c>
      <c r="G28" s="65">
        <v>720791</v>
      </c>
      <c r="H28" s="65">
        <v>0</v>
      </c>
      <c r="I28" s="39">
        <v>25596837</v>
      </c>
      <c r="J28" s="41">
        <v>1623163</v>
      </c>
      <c r="K28" s="43">
        <v>12933</v>
      </c>
      <c r="L28" s="43">
        <v>778</v>
      </c>
      <c r="M28" s="43">
        <v>0</v>
      </c>
      <c r="N28" s="39">
        <v>1636874</v>
      </c>
      <c r="O28" s="43">
        <v>1869662</v>
      </c>
      <c r="P28" s="43">
        <v>53298</v>
      </c>
      <c r="Q28" s="43">
        <v>2364</v>
      </c>
      <c r="R28" s="43">
        <v>0</v>
      </c>
      <c r="S28" s="39">
        <v>1925324</v>
      </c>
      <c r="T28" s="41">
        <v>1900184</v>
      </c>
      <c r="U28" s="43">
        <v>67576</v>
      </c>
      <c r="V28" s="43">
        <v>53474</v>
      </c>
      <c r="W28" s="43">
        <v>0</v>
      </c>
      <c r="X28" s="39">
        <v>2021234</v>
      </c>
      <c r="Y28" s="41">
        <v>2047080</v>
      </c>
      <c r="Z28" s="43">
        <v>58734</v>
      </c>
      <c r="AA28" s="43">
        <v>15675</v>
      </c>
      <c r="AB28" s="43">
        <v>0</v>
      </c>
      <c r="AC28" s="39">
        <v>2121489</v>
      </c>
      <c r="AD28" s="41">
        <v>2048652</v>
      </c>
      <c r="AE28" s="43">
        <v>88791</v>
      </c>
      <c r="AF28" s="43">
        <v>10397</v>
      </c>
      <c r="AG28" s="43">
        <v>0</v>
      </c>
      <c r="AH28" s="39">
        <v>2147840</v>
      </c>
      <c r="AI28" s="41">
        <v>2122651</v>
      </c>
      <c r="AJ28" s="43">
        <v>90376</v>
      </c>
      <c r="AK28" s="43">
        <v>29586</v>
      </c>
      <c r="AL28" s="43">
        <v>0</v>
      </c>
      <c r="AM28" s="39">
        <v>2242613</v>
      </c>
      <c r="AN28" s="41">
        <v>2074895</v>
      </c>
      <c r="AO28" s="43">
        <v>70578</v>
      </c>
      <c r="AP28" s="43">
        <v>19778</v>
      </c>
      <c r="AQ28" s="43">
        <v>0</v>
      </c>
      <c r="AR28" s="39">
        <v>2165251</v>
      </c>
      <c r="AS28" s="41">
        <v>1961137</v>
      </c>
      <c r="AT28" s="43">
        <v>24713</v>
      </c>
      <c r="AU28" s="43">
        <v>11271</v>
      </c>
      <c r="AV28" s="43">
        <v>0</v>
      </c>
      <c r="AW28" s="39">
        <v>1997121</v>
      </c>
      <c r="AX28" s="41">
        <v>1922089</v>
      </c>
      <c r="AY28" s="43">
        <v>112641</v>
      </c>
      <c r="AZ28" s="43">
        <v>12920</v>
      </c>
      <c r="BA28" s="43">
        <v>0</v>
      </c>
      <c r="BB28" s="39">
        <v>2047650</v>
      </c>
      <c r="BC28" s="41">
        <v>1741195</v>
      </c>
      <c r="BD28" s="43">
        <v>18602</v>
      </c>
      <c r="BE28" s="43">
        <v>7813</v>
      </c>
      <c r="BF28" s="43">
        <v>0</v>
      </c>
      <c r="BG28" s="39">
        <v>1767610</v>
      </c>
      <c r="BH28" s="41">
        <v>0</v>
      </c>
      <c r="BI28" s="43">
        <v>0</v>
      </c>
      <c r="BJ28" s="43">
        <v>0</v>
      </c>
      <c r="BK28" s="43">
        <v>0</v>
      </c>
      <c r="BL28" s="39">
        <v>0</v>
      </c>
      <c r="BM28" s="41">
        <v>0</v>
      </c>
      <c r="BN28" s="43">
        <v>0</v>
      </c>
      <c r="BO28" s="43">
        <v>0</v>
      </c>
      <c r="BP28" s="43">
        <v>0</v>
      </c>
      <c r="BQ28" s="39">
        <v>0</v>
      </c>
      <c r="BR28" s="41">
        <v>19310708</v>
      </c>
      <c r="BS28" s="65">
        <v>598242</v>
      </c>
      <c r="BT28" s="43">
        <v>164056</v>
      </c>
      <c r="BU28" s="43">
        <v>0</v>
      </c>
      <c r="BV28" s="41">
        <v>20073006</v>
      </c>
      <c r="BW28" s="9"/>
      <c r="BX28" s="206"/>
      <c r="CA28" s="264"/>
      <c r="CB28" s="1"/>
    </row>
    <row r="29" spans="1:80" ht="13.5" x14ac:dyDescent="0.25">
      <c r="A29" s="202">
        <v>23</v>
      </c>
      <c r="B29" s="203" t="s">
        <v>207</v>
      </c>
      <c r="D29" s="204"/>
      <c r="E29" s="66">
        <v>46146842</v>
      </c>
      <c r="F29" s="65">
        <v>6835869</v>
      </c>
      <c r="G29" s="65">
        <v>1218576</v>
      </c>
      <c r="H29" s="65">
        <v>0</v>
      </c>
      <c r="I29" s="39">
        <v>54201287</v>
      </c>
      <c r="J29" s="41">
        <v>2933087</v>
      </c>
      <c r="K29" s="43">
        <v>678492</v>
      </c>
      <c r="L29" s="43">
        <v>10249</v>
      </c>
      <c r="M29" s="43">
        <v>0</v>
      </c>
      <c r="N29" s="39">
        <v>3621828</v>
      </c>
      <c r="O29" s="43">
        <v>4068881</v>
      </c>
      <c r="P29" s="43">
        <v>495981</v>
      </c>
      <c r="Q29" s="43">
        <v>138137</v>
      </c>
      <c r="R29" s="43">
        <v>0</v>
      </c>
      <c r="S29" s="39">
        <v>4702999</v>
      </c>
      <c r="T29" s="41">
        <v>3355923</v>
      </c>
      <c r="U29" s="43">
        <v>426125</v>
      </c>
      <c r="V29" s="43">
        <v>74664</v>
      </c>
      <c r="W29" s="43">
        <v>0</v>
      </c>
      <c r="X29" s="39">
        <v>3856712</v>
      </c>
      <c r="Y29" s="41">
        <v>3594350</v>
      </c>
      <c r="Z29" s="43">
        <v>787951</v>
      </c>
      <c r="AA29" s="43">
        <v>15588</v>
      </c>
      <c r="AB29" s="43">
        <v>0</v>
      </c>
      <c r="AC29" s="39">
        <v>4397889</v>
      </c>
      <c r="AD29" s="41">
        <v>3890738</v>
      </c>
      <c r="AE29" s="43">
        <v>424547</v>
      </c>
      <c r="AF29" s="43">
        <v>194372</v>
      </c>
      <c r="AG29" s="43">
        <v>0</v>
      </c>
      <c r="AH29" s="39">
        <v>4509657</v>
      </c>
      <c r="AI29" s="41">
        <v>3794447</v>
      </c>
      <c r="AJ29" s="43">
        <v>402390</v>
      </c>
      <c r="AK29" s="43">
        <v>64987</v>
      </c>
      <c r="AL29" s="43">
        <v>0</v>
      </c>
      <c r="AM29" s="39">
        <v>4261824</v>
      </c>
      <c r="AN29" s="41">
        <v>4081025</v>
      </c>
      <c r="AO29" s="43">
        <v>763028</v>
      </c>
      <c r="AP29" s="43">
        <v>56314</v>
      </c>
      <c r="AQ29" s="43">
        <v>0</v>
      </c>
      <c r="AR29" s="39">
        <v>4900367</v>
      </c>
      <c r="AS29" s="41">
        <v>3472768</v>
      </c>
      <c r="AT29" s="43">
        <v>426151</v>
      </c>
      <c r="AU29" s="43">
        <v>40854</v>
      </c>
      <c r="AV29" s="43">
        <v>0</v>
      </c>
      <c r="AW29" s="39">
        <v>3939773</v>
      </c>
      <c r="AX29" s="41">
        <v>3438067</v>
      </c>
      <c r="AY29" s="43">
        <v>420481</v>
      </c>
      <c r="AZ29" s="43">
        <v>24866</v>
      </c>
      <c r="BA29" s="43">
        <v>0</v>
      </c>
      <c r="BB29" s="39">
        <v>3883414</v>
      </c>
      <c r="BC29" s="41">
        <v>3595147</v>
      </c>
      <c r="BD29" s="43">
        <v>712030</v>
      </c>
      <c r="BE29" s="43">
        <v>96614</v>
      </c>
      <c r="BF29" s="43">
        <v>0</v>
      </c>
      <c r="BG29" s="39">
        <v>4403791</v>
      </c>
      <c r="BH29" s="41">
        <v>0</v>
      </c>
      <c r="BI29" s="43">
        <v>0</v>
      </c>
      <c r="BJ29" s="43">
        <v>0</v>
      </c>
      <c r="BK29" s="43">
        <v>0</v>
      </c>
      <c r="BL29" s="39">
        <v>0</v>
      </c>
      <c r="BM29" s="41">
        <v>0</v>
      </c>
      <c r="BN29" s="43">
        <v>0</v>
      </c>
      <c r="BO29" s="43">
        <v>0</v>
      </c>
      <c r="BP29" s="43">
        <v>0</v>
      </c>
      <c r="BQ29" s="39">
        <v>0</v>
      </c>
      <c r="BR29" s="41">
        <v>36224433</v>
      </c>
      <c r="BS29" s="65">
        <v>5537176</v>
      </c>
      <c r="BT29" s="43">
        <v>716645</v>
      </c>
      <c r="BU29" s="43">
        <v>0</v>
      </c>
      <c r="BV29" s="41">
        <v>42478254</v>
      </c>
      <c r="BW29" s="9"/>
      <c r="BX29" s="206"/>
      <c r="CA29" s="264"/>
      <c r="CB29" s="1"/>
    </row>
    <row r="30" spans="1:80" ht="13.5" x14ac:dyDescent="0.25">
      <c r="A30" s="202">
        <v>24</v>
      </c>
      <c r="B30" s="203" t="s">
        <v>208</v>
      </c>
      <c r="D30" s="215"/>
      <c r="E30" s="66">
        <v>334662</v>
      </c>
      <c r="F30" s="65">
        <v>820</v>
      </c>
      <c r="G30" s="65">
        <v>5494</v>
      </c>
      <c r="H30" s="65">
        <v>0</v>
      </c>
      <c r="I30" s="39">
        <v>340976</v>
      </c>
      <c r="J30" s="41">
        <v>58387</v>
      </c>
      <c r="K30" s="43">
        <v>0</v>
      </c>
      <c r="L30" s="43">
        <v>2856</v>
      </c>
      <c r="M30" s="43">
        <v>0</v>
      </c>
      <c r="N30" s="39">
        <v>61243</v>
      </c>
      <c r="O30" s="43">
        <v>23209</v>
      </c>
      <c r="P30" s="43">
        <v>54</v>
      </c>
      <c r="Q30" s="43">
        <v>0</v>
      </c>
      <c r="R30" s="43">
        <v>0</v>
      </c>
      <c r="S30" s="39">
        <v>23263</v>
      </c>
      <c r="T30" s="41">
        <v>22095</v>
      </c>
      <c r="U30" s="43">
        <v>36</v>
      </c>
      <c r="V30" s="43">
        <v>0</v>
      </c>
      <c r="W30" s="43">
        <v>0</v>
      </c>
      <c r="X30" s="39">
        <v>22131</v>
      </c>
      <c r="Y30" s="41">
        <v>21325</v>
      </c>
      <c r="Z30" s="43">
        <v>1</v>
      </c>
      <c r="AA30" s="43">
        <v>0</v>
      </c>
      <c r="AB30" s="43">
        <v>0</v>
      </c>
      <c r="AC30" s="39">
        <v>21326</v>
      </c>
      <c r="AD30" s="41">
        <v>21927</v>
      </c>
      <c r="AE30" s="43">
        <v>750</v>
      </c>
      <c r="AF30" s="43">
        <v>32</v>
      </c>
      <c r="AG30" s="43">
        <v>0</v>
      </c>
      <c r="AH30" s="39">
        <v>22709</v>
      </c>
      <c r="AI30" s="41">
        <v>22356</v>
      </c>
      <c r="AJ30" s="43">
        <v>0</v>
      </c>
      <c r="AK30" s="43">
        <v>321</v>
      </c>
      <c r="AL30" s="43">
        <v>0</v>
      </c>
      <c r="AM30" s="39">
        <v>22677</v>
      </c>
      <c r="AN30" s="41">
        <v>28649</v>
      </c>
      <c r="AO30" s="43">
        <v>51</v>
      </c>
      <c r="AP30" s="43">
        <v>8</v>
      </c>
      <c r="AQ30" s="43">
        <v>0</v>
      </c>
      <c r="AR30" s="39">
        <v>28708</v>
      </c>
      <c r="AS30" s="41">
        <v>34658</v>
      </c>
      <c r="AT30" s="43">
        <v>1</v>
      </c>
      <c r="AU30" s="43">
        <v>0</v>
      </c>
      <c r="AV30" s="43">
        <v>0</v>
      </c>
      <c r="AW30" s="39">
        <v>34659</v>
      </c>
      <c r="AX30" s="41">
        <v>25493</v>
      </c>
      <c r="AY30" s="43">
        <v>137</v>
      </c>
      <c r="AZ30" s="43">
        <v>-23</v>
      </c>
      <c r="BA30" s="43">
        <v>0</v>
      </c>
      <c r="BB30" s="39">
        <v>25607</v>
      </c>
      <c r="BC30" s="41">
        <v>20084</v>
      </c>
      <c r="BD30" s="43">
        <v>37</v>
      </c>
      <c r="BE30" s="43">
        <v>0</v>
      </c>
      <c r="BF30" s="43">
        <v>0</v>
      </c>
      <c r="BG30" s="39">
        <v>20121</v>
      </c>
      <c r="BH30" s="41">
        <v>0</v>
      </c>
      <c r="BI30" s="43">
        <v>0</v>
      </c>
      <c r="BJ30" s="43">
        <v>0</v>
      </c>
      <c r="BK30" s="43">
        <v>0</v>
      </c>
      <c r="BL30" s="39">
        <v>0</v>
      </c>
      <c r="BM30" s="41">
        <v>0</v>
      </c>
      <c r="BN30" s="43">
        <v>0</v>
      </c>
      <c r="BO30" s="43">
        <v>0</v>
      </c>
      <c r="BP30" s="43">
        <v>0</v>
      </c>
      <c r="BQ30" s="39">
        <v>0</v>
      </c>
      <c r="BR30" s="41">
        <v>278183</v>
      </c>
      <c r="BS30" s="65">
        <v>1067</v>
      </c>
      <c r="BT30" s="43">
        <v>3194</v>
      </c>
      <c r="BU30" s="43">
        <v>0</v>
      </c>
      <c r="BV30" s="41">
        <v>282444</v>
      </c>
      <c r="BW30" s="9"/>
      <c r="BX30" s="208"/>
      <c r="CA30" s="264"/>
      <c r="CB30" s="1"/>
    </row>
    <row r="31" spans="1:80" ht="13.5" x14ac:dyDescent="0.25">
      <c r="A31" s="202">
        <v>25</v>
      </c>
      <c r="B31" s="203" t="s">
        <v>209</v>
      </c>
      <c r="D31" s="204"/>
      <c r="E31" s="66">
        <v>14842532</v>
      </c>
      <c r="F31" s="65">
        <v>2989640</v>
      </c>
      <c r="G31" s="65">
        <v>833523</v>
      </c>
      <c r="H31" s="65">
        <v>589</v>
      </c>
      <c r="I31" s="39">
        <v>18666284</v>
      </c>
      <c r="J31" s="41">
        <v>897125</v>
      </c>
      <c r="K31" s="43">
        <v>255458</v>
      </c>
      <c r="L31" s="43">
        <v>3066</v>
      </c>
      <c r="M31" s="43">
        <v>0</v>
      </c>
      <c r="N31" s="39">
        <v>1155649</v>
      </c>
      <c r="O31" s="43">
        <v>904840</v>
      </c>
      <c r="P31" s="43">
        <v>258171</v>
      </c>
      <c r="Q31" s="43">
        <v>162238</v>
      </c>
      <c r="R31" s="43">
        <v>294</v>
      </c>
      <c r="S31" s="39">
        <v>1325543</v>
      </c>
      <c r="T31" s="41">
        <v>898753</v>
      </c>
      <c r="U31" s="43">
        <v>258449</v>
      </c>
      <c r="V31" s="43">
        <v>11048</v>
      </c>
      <c r="W31" s="43">
        <v>0</v>
      </c>
      <c r="X31" s="39">
        <v>1168250</v>
      </c>
      <c r="Y31" s="41">
        <v>1036875</v>
      </c>
      <c r="Z31" s="43">
        <v>259193</v>
      </c>
      <c r="AA31" s="43">
        <v>23392</v>
      </c>
      <c r="AB31" s="43">
        <v>160</v>
      </c>
      <c r="AC31" s="39">
        <v>1319620</v>
      </c>
      <c r="AD31" s="41">
        <v>1105159</v>
      </c>
      <c r="AE31" s="43">
        <v>275831</v>
      </c>
      <c r="AF31" s="43">
        <v>17367</v>
      </c>
      <c r="AG31" s="43">
        <v>135</v>
      </c>
      <c r="AH31" s="39">
        <v>1398492</v>
      </c>
      <c r="AI31" s="41">
        <v>1089995</v>
      </c>
      <c r="AJ31" s="43">
        <v>258684</v>
      </c>
      <c r="AK31" s="43">
        <v>44576</v>
      </c>
      <c r="AL31" s="43">
        <v>22</v>
      </c>
      <c r="AM31" s="39">
        <v>1393277</v>
      </c>
      <c r="AN31" s="41">
        <v>1078416</v>
      </c>
      <c r="AO31" s="43">
        <v>259517</v>
      </c>
      <c r="AP31" s="43">
        <v>34788</v>
      </c>
      <c r="AQ31" s="43">
        <v>-19</v>
      </c>
      <c r="AR31" s="39">
        <v>1372702</v>
      </c>
      <c r="AS31" s="41">
        <v>1197347</v>
      </c>
      <c r="AT31" s="43">
        <v>262390</v>
      </c>
      <c r="AU31" s="43">
        <v>38570</v>
      </c>
      <c r="AV31" s="43">
        <v>0</v>
      </c>
      <c r="AW31" s="39">
        <v>1498307</v>
      </c>
      <c r="AX31" s="41">
        <v>1295748</v>
      </c>
      <c r="AY31" s="43">
        <v>276546</v>
      </c>
      <c r="AZ31" s="43">
        <v>26415</v>
      </c>
      <c r="BA31" s="43">
        <v>58</v>
      </c>
      <c r="BB31" s="39">
        <v>1598767</v>
      </c>
      <c r="BC31" s="41">
        <v>894233</v>
      </c>
      <c r="BD31" s="43">
        <v>264840</v>
      </c>
      <c r="BE31" s="43">
        <v>15674</v>
      </c>
      <c r="BF31" s="43">
        <v>0</v>
      </c>
      <c r="BG31" s="39">
        <v>1174747</v>
      </c>
      <c r="BH31" s="41">
        <v>0</v>
      </c>
      <c r="BI31" s="43">
        <v>0</v>
      </c>
      <c r="BJ31" s="43">
        <v>0</v>
      </c>
      <c r="BK31" s="43">
        <v>0</v>
      </c>
      <c r="BL31" s="39">
        <v>0</v>
      </c>
      <c r="BM31" s="41">
        <v>0</v>
      </c>
      <c r="BN31" s="43">
        <v>0</v>
      </c>
      <c r="BO31" s="43">
        <v>0</v>
      </c>
      <c r="BP31" s="43">
        <v>0</v>
      </c>
      <c r="BQ31" s="39">
        <v>0</v>
      </c>
      <c r="BR31" s="41">
        <v>10398491</v>
      </c>
      <c r="BS31" s="65">
        <v>2629079</v>
      </c>
      <c r="BT31" s="43">
        <v>377134</v>
      </c>
      <c r="BU31" s="43">
        <v>650</v>
      </c>
      <c r="BV31" s="41">
        <v>13405354</v>
      </c>
      <c r="BW31" s="9"/>
      <c r="BX31" s="206"/>
      <c r="CA31" s="264"/>
      <c r="CB31" s="1"/>
    </row>
    <row r="32" spans="1:80" ht="13.5" x14ac:dyDescent="0.25">
      <c r="A32" s="202">
        <v>26</v>
      </c>
      <c r="B32" s="203" t="s">
        <v>210</v>
      </c>
      <c r="D32" s="204"/>
      <c r="E32" s="66">
        <v>335889</v>
      </c>
      <c r="F32" s="65">
        <v>126653</v>
      </c>
      <c r="G32" s="65">
        <v>17800</v>
      </c>
      <c r="H32" s="65">
        <v>0</v>
      </c>
      <c r="I32" s="39">
        <v>480342</v>
      </c>
      <c r="J32" s="41">
        <v>11573</v>
      </c>
      <c r="K32" s="43">
        <v>1526</v>
      </c>
      <c r="L32" s="43">
        <v>39</v>
      </c>
      <c r="M32" s="43">
        <v>0</v>
      </c>
      <c r="N32" s="39">
        <v>13138</v>
      </c>
      <c r="O32" s="43">
        <v>11588</v>
      </c>
      <c r="P32" s="43">
        <v>1414</v>
      </c>
      <c r="Q32" s="43">
        <v>0</v>
      </c>
      <c r="R32" s="43">
        <v>0</v>
      </c>
      <c r="S32" s="39">
        <v>13002</v>
      </c>
      <c r="T32" s="41">
        <v>14811</v>
      </c>
      <c r="U32" s="43">
        <v>3519</v>
      </c>
      <c r="V32" s="43">
        <v>87</v>
      </c>
      <c r="W32" s="43">
        <v>0</v>
      </c>
      <c r="X32" s="39">
        <v>18417</v>
      </c>
      <c r="Y32" s="41">
        <v>16800</v>
      </c>
      <c r="Z32" s="43">
        <v>6209</v>
      </c>
      <c r="AA32" s="43">
        <v>137</v>
      </c>
      <c r="AB32" s="43"/>
      <c r="AC32" s="39">
        <v>23146</v>
      </c>
      <c r="AD32" s="41">
        <v>14775</v>
      </c>
      <c r="AE32" s="43">
        <v>5257</v>
      </c>
      <c r="AF32" s="43">
        <v>527</v>
      </c>
      <c r="AG32" s="43">
        <v>0</v>
      </c>
      <c r="AH32" s="39">
        <v>20559</v>
      </c>
      <c r="AI32" s="41">
        <v>25679</v>
      </c>
      <c r="AJ32" s="43">
        <v>8677</v>
      </c>
      <c r="AK32" s="43">
        <v>349</v>
      </c>
      <c r="AL32" s="43">
        <v>0</v>
      </c>
      <c r="AM32" s="39">
        <v>34705</v>
      </c>
      <c r="AN32" s="41">
        <v>36042</v>
      </c>
      <c r="AO32" s="43">
        <v>9047</v>
      </c>
      <c r="AP32" s="43">
        <v>-87</v>
      </c>
      <c r="AQ32" s="43">
        <v>0</v>
      </c>
      <c r="AR32" s="39">
        <v>45002</v>
      </c>
      <c r="AS32" s="41">
        <v>16993</v>
      </c>
      <c r="AT32" s="43">
        <v>9300</v>
      </c>
      <c r="AU32" s="43">
        <v>87</v>
      </c>
      <c r="AV32" s="43">
        <v>0</v>
      </c>
      <c r="AW32" s="39">
        <v>26380</v>
      </c>
      <c r="AX32" s="41">
        <v>36387</v>
      </c>
      <c r="AY32" s="43">
        <v>6746</v>
      </c>
      <c r="AZ32" s="43">
        <v>57</v>
      </c>
      <c r="BA32" s="43">
        <v>0</v>
      </c>
      <c r="BB32" s="39">
        <v>43190</v>
      </c>
      <c r="BC32" s="41">
        <v>18618</v>
      </c>
      <c r="BD32" s="43">
        <v>4986</v>
      </c>
      <c r="BE32" s="43">
        <v>-148</v>
      </c>
      <c r="BF32" s="43"/>
      <c r="BG32" s="39">
        <v>23456</v>
      </c>
      <c r="BH32" s="41"/>
      <c r="BI32" s="43"/>
      <c r="BJ32" s="43"/>
      <c r="BK32" s="43"/>
      <c r="BL32" s="39"/>
      <c r="BM32" s="41"/>
      <c r="BN32" s="43"/>
      <c r="BO32" s="43"/>
      <c r="BP32" s="43"/>
      <c r="BQ32" s="39"/>
      <c r="BR32" s="41">
        <v>203266</v>
      </c>
      <c r="BS32" s="65">
        <v>56681</v>
      </c>
      <c r="BT32" s="43">
        <v>1048</v>
      </c>
      <c r="BU32" s="43">
        <v>0</v>
      </c>
      <c r="BV32" s="41">
        <v>260995</v>
      </c>
      <c r="BW32" s="9"/>
      <c r="BX32" s="206"/>
      <c r="CA32" s="264"/>
      <c r="CB32" s="1"/>
    </row>
    <row r="33" spans="1:80" ht="13.5" x14ac:dyDescent="0.25">
      <c r="A33" s="202">
        <v>27</v>
      </c>
      <c r="B33" s="180" t="s">
        <v>211</v>
      </c>
      <c r="D33" s="204"/>
      <c r="E33" s="66">
        <v>1076504</v>
      </c>
      <c r="F33" s="65">
        <v>1416</v>
      </c>
      <c r="G33" s="65">
        <v>110201</v>
      </c>
      <c r="H33" s="65">
        <v>0</v>
      </c>
      <c r="I33" s="39">
        <v>1188121</v>
      </c>
      <c r="J33" s="41">
        <v>68062</v>
      </c>
      <c r="K33" s="43">
        <v>2</v>
      </c>
      <c r="L33" s="43">
        <v>1098</v>
      </c>
      <c r="M33" s="43">
        <v>0</v>
      </c>
      <c r="N33" s="39">
        <v>69162</v>
      </c>
      <c r="O33" s="43">
        <v>66302</v>
      </c>
      <c r="P33" s="43">
        <v>86</v>
      </c>
      <c r="Q33" s="43">
        <v>4854</v>
      </c>
      <c r="R33" s="43">
        <v>0</v>
      </c>
      <c r="S33" s="39">
        <v>71242</v>
      </c>
      <c r="T33" s="41">
        <v>72926</v>
      </c>
      <c r="U33" s="43">
        <v>34</v>
      </c>
      <c r="V33" s="43">
        <v>4497</v>
      </c>
      <c r="W33" s="43">
        <v>0</v>
      </c>
      <c r="X33" s="39">
        <v>77457</v>
      </c>
      <c r="Y33" s="41">
        <v>74721</v>
      </c>
      <c r="Z33" s="43">
        <v>95</v>
      </c>
      <c r="AA33" s="43">
        <v>6365</v>
      </c>
      <c r="AB33" s="43">
        <v>0</v>
      </c>
      <c r="AC33" s="39">
        <v>81181</v>
      </c>
      <c r="AD33" s="41">
        <v>74064</v>
      </c>
      <c r="AE33" s="43">
        <v>175</v>
      </c>
      <c r="AF33" s="43">
        <v>10873</v>
      </c>
      <c r="AG33" s="43">
        <v>0</v>
      </c>
      <c r="AH33" s="39">
        <v>85112</v>
      </c>
      <c r="AI33" s="41">
        <v>73247</v>
      </c>
      <c r="AJ33" s="43">
        <v>57</v>
      </c>
      <c r="AK33" s="43">
        <v>3347</v>
      </c>
      <c r="AL33" s="43">
        <v>0</v>
      </c>
      <c r="AM33" s="39">
        <v>76651</v>
      </c>
      <c r="AN33" s="41">
        <v>97757</v>
      </c>
      <c r="AO33" s="43">
        <v>236</v>
      </c>
      <c r="AP33" s="43">
        <v>17771</v>
      </c>
      <c r="AQ33" s="43">
        <v>0</v>
      </c>
      <c r="AR33" s="39">
        <v>115764</v>
      </c>
      <c r="AS33" s="41">
        <v>74695</v>
      </c>
      <c r="AT33" s="43">
        <v>505</v>
      </c>
      <c r="AU33" s="43">
        <v>5766</v>
      </c>
      <c r="AV33" s="43">
        <v>0</v>
      </c>
      <c r="AW33" s="39">
        <v>80966</v>
      </c>
      <c r="AX33" s="41">
        <v>83444</v>
      </c>
      <c r="AY33" s="43">
        <v>915</v>
      </c>
      <c r="AZ33" s="43">
        <v>7824</v>
      </c>
      <c r="BA33" s="43">
        <v>0</v>
      </c>
      <c r="BB33" s="39">
        <v>92183</v>
      </c>
      <c r="BC33" s="41">
        <v>71084</v>
      </c>
      <c r="BD33" s="43">
        <v>482</v>
      </c>
      <c r="BE33" s="43">
        <v>6441</v>
      </c>
      <c r="BF33" s="43">
        <v>0</v>
      </c>
      <c r="BG33" s="39">
        <v>78007</v>
      </c>
      <c r="BH33" s="41">
        <v>0</v>
      </c>
      <c r="BI33" s="43">
        <v>0</v>
      </c>
      <c r="BJ33" s="43">
        <v>0</v>
      </c>
      <c r="BK33" s="43">
        <v>0</v>
      </c>
      <c r="BL33" s="39">
        <v>0</v>
      </c>
      <c r="BM33" s="41">
        <v>0</v>
      </c>
      <c r="BN33" s="43">
        <v>0</v>
      </c>
      <c r="BO33" s="43">
        <v>0</v>
      </c>
      <c r="BP33" s="43">
        <v>0</v>
      </c>
      <c r="BQ33" s="39">
        <v>0</v>
      </c>
      <c r="BR33" s="41">
        <v>756302</v>
      </c>
      <c r="BS33" s="65">
        <v>2587</v>
      </c>
      <c r="BT33" s="43">
        <v>68836</v>
      </c>
      <c r="BU33" s="43">
        <v>0</v>
      </c>
      <c r="BV33" s="41">
        <v>827725</v>
      </c>
      <c r="BW33" s="9"/>
      <c r="BX33" s="206"/>
      <c r="CA33" s="264"/>
      <c r="CB33" s="1"/>
    </row>
    <row r="34" spans="1:80" ht="13.5" x14ac:dyDescent="0.25">
      <c r="A34" s="202">
        <v>28</v>
      </c>
      <c r="B34" s="203" t="s">
        <v>212</v>
      </c>
      <c r="D34" s="204"/>
      <c r="E34" s="66">
        <v>95366408</v>
      </c>
      <c r="F34" s="65">
        <v>1613719</v>
      </c>
      <c r="G34" s="65">
        <v>2580767</v>
      </c>
      <c r="H34" s="65">
        <v>0</v>
      </c>
      <c r="I34" s="39">
        <v>99560894</v>
      </c>
      <c r="J34" s="41">
        <v>8006135</v>
      </c>
      <c r="K34" s="43">
        <v>105447</v>
      </c>
      <c r="L34" s="43">
        <v>68895</v>
      </c>
      <c r="M34" s="43">
        <v>4803</v>
      </c>
      <c r="N34" s="39">
        <v>8185280</v>
      </c>
      <c r="O34" s="43">
        <v>7807331</v>
      </c>
      <c r="P34" s="43">
        <v>276535</v>
      </c>
      <c r="Q34" s="43">
        <v>32605</v>
      </c>
      <c r="R34" s="43">
        <v>3575</v>
      </c>
      <c r="S34" s="39">
        <v>8120046</v>
      </c>
      <c r="T34" s="41">
        <v>7592601</v>
      </c>
      <c r="U34" s="43">
        <v>30673</v>
      </c>
      <c r="V34" s="43">
        <v>24695</v>
      </c>
      <c r="W34" s="43">
        <v>530</v>
      </c>
      <c r="X34" s="39">
        <v>7648499</v>
      </c>
      <c r="Y34" s="41">
        <v>7395413</v>
      </c>
      <c r="Z34" s="43">
        <v>121985</v>
      </c>
      <c r="AA34" s="43">
        <v>42118</v>
      </c>
      <c r="AB34" s="43">
        <v>170</v>
      </c>
      <c r="AC34" s="39">
        <v>7559686</v>
      </c>
      <c r="AD34" s="41">
        <v>6881194</v>
      </c>
      <c r="AE34" s="43">
        <v>115713</v>
      </c>
      <c r="AF34" s="43">
        <v>142040</v>
      </c>
      <c r="AG34" s="43">
        <v>1686</v>
      </c>
      <c r="AH34" s="39">
        <v>7140633</v>
      </c>
      <c r="AI34" s="41">
        <v>7310264</v>
      </c>
      <c r="AJ34" s="43">
        <v>128067</v>
      </c>
      <c r="AK34" s="43">
        <v>293775</v>
      </c>
      <c r="AL34" s="43">
        <v>2698</v>
      </c>
      <c r="AM34" s="39">
        <v>7734804</v>
      </c>
      <c r="AN34" s="41">
        <v>7842543</v>
      </c>
      <c r="AO34" s="43">
        <v>91627</v>
      </c>
      <c r="AP34" s="43">
        <v>409366</v>
      </c>
      <c r="AQ34" s="43">
        <v>1860</v>
      </c>
      <c r="AR34" s="39">
        <v>8345396</v>
      </c>
      <c r="AS34" s="41">
        <v>7785828</v>
      </c>
      <c r="AT34" s="43">
        <v>141307</v>
      </c>
      <c r="AU34" s="43">
        <v>347818</v>
      </c>
      <c r="AV34" s="43">
        <v>10175</v>
      </c>
      <c r="AW34" s="39">
        <v>8285128</v>
      </c>
      <c r="AX34" s="41">
        <v>7201306</v>
      </c>
      <c r="AY34" s="43">
        <v>68411</v>
      </c>
      <c r="AZ34" s="43">
        <v>177375</v>
      </c>
      <c r="BA34" s="43">
        <v>296</v>
      </c>
      <c r="BB34" s="39">
        <v>7447388</v>
      </c>
      <c r="BC34" s="41">
        <v>7533142</v>
      </c>
      <c r="BD34" s="43">
        <v>190935</v>
      </c>
      <c r="BE34" s="43">
        <v>160840</v>
      </c>
      <c r="BF34" s="43">
        <v>1190</v>
      </c>
      <c r="BG34" s="39">
        <v>7886107</v>
      </c>
      <c r="BH34" s="41">
        <v>0</v>
      </c>
      <c r="BI34" s="43">
        <v>0</v>
      </c>
      <c r="BJ34" s="43">
        <v>0</v>
      </c>
      <c r="BK34" s="43">
        <v>0</v>
      </c>
      <c r="BL34" s="39">
        <v>0</v>
      </c>
      <c r="BM34" s="41">
        <v>0</v>
      </c>
      <c r="BN34" s="43">
        <v>0</v>
      </c>
      <c r="BO34" s="43">
        <v>0</v>
      </c>
      <c r="BP34" s="43">
        <v>0</v>
      </c>
      <c r="BQ34" s="39">
        <v>0</v>
      </c>
      <c r="BR34" s="41">
        <v>75355757</v>
      </c>
      <c r="BS34" s="65">
        <v>1270700</v>
      </c>
      <c r="BT34" s="43">
        <v>1699527</v>
      </c>
      <c r="BU34" s="43">
        <v>26983</v>
      </c>
      <c r="BV34" s="41">
        <v>78352967</v>
      </c>
      <c r="BW34" s="9"/>
      <c r="BX34" s="206"/>
      <c r="CA34" s="264"/>
      <c r="CB34" s="1"/>
    </row>
    <row r="35" spans="1:80" ht="13.5" x14ac:dyDescent="0.25">
      <c r="A35" s="202">
        <v>29</v>
      </c>
      <c r="B35" s="203" t="s">
        <v>213</v>
      </c>
      <c r="D35" s="204"/>
      <c r="E35" s="66">
        <v>7816104</v>
      </c>
      <c r="F35" s="65">
        <v>6738730</v>
      </c>
      <c r="G35" s="65">
        <v>692779</v>
      </c>
      <c r="H35" s="65">
        <v>0</v>
      </c>
      <c r="I35" s="39">
        <v>15247613</v>
      </c>
      <c r="J35" s="41">
        <v>337160</v>
      </c>
      <c r="K35" s="43">
        <v>323418</v>
      </c>
      <c r="L35" s="43">
        <v>1444</v>
      </c>
      <c r="M35" s="43">
        <v>0</v>
      </c>
      <c r="N35" s="39">
        <v>662022</v>
      </c>
      <c r="O35" s="43">
        <v>410703</v>
      </c>
      <c r="P35" s="43">
        <v>151301</v>
      </c>
      <c r="Q35" s="43">
        <v>9596</v>
      </c>
      <c r="R35" s="43">
        <v>0</v>
      </c>
      <c r="S35" s="39">
        <v>571600</v>
      </c>
      <c r="T35" s="41">
        <v>487250</v>
      </c>
      <c r="U35" s="43">
        <v>503816</v>
      </c>
      <c r="V35" s="43">
        <v>33663</v>
      </c>
      <c r="W35" s="43">
        <v>0</v>
      </c>
      <c r="X35" s="41">
        <v>1024729</v>
      </c>
      <c r="Y35" s="41">
        <v>389973</v>
      </c>
      <c r="Z35" s="43">
        <v>369974</v>
      </c>
      <c r="AA35" s="43">
        <v>33214</v>
      </c>
      <c r="AB35" s="43">
        <v>0</v>
      </c>
      <c r="AC35" s="39">
        <v>793161</v>
      </c>
      <c r="AD35" s="41">
        <v>550167</v>
      </c>
      <c r="AE35" s="43">
        <v>575937</v>
      </c>
      <c r="AF35" s="43">
        <v>44273</v>
      </c>
      <c r="AG35" s="43">
        <v>0</v>
      </c>
      <c r="AH35" s="39">
        <v>1170377</v>
      </c>
      <c r="AI35" s="41">
        <v>470760</v>
      </c>
      <c r="AJ35" s="43">
        <v>1123085</v>
      </c>
      <c r="AK35" s="43">
        <v>36736</v>
      </c>
      <c r="AL35" s="43">
        <v>46</v>
      </c>
      <c r="AM35" s="39">
        <v>1630627</v>
      </c>
      <c r="AN35" s="41">
        <v>936326</v>
      </c>
      <c r="AO35" s="43">
        <v>1108677</v>
      </c>
      <c r="AP35" s="43">
        <v>47363</v>
      </c>
      <c r="AQ35" s="43">
        <v>0</v>
      </c>
      <c r="AR35" s="39">
        <v>2092366</v>
      </c>
      <c r="AS35" s="41">
        <v>489997</v>
      </c>
      <c r="AT35" s="43">
        <v>314746</v>
      </c>
      <c r="AU35" s="43">
        <v>42363</v>
      </c>
      <c r="AV35" s="43">
        <v>0</v>
      </c>
      <c r="AW35" s="39">
        <v>847106</v>
      </c>
      <c r="AX35" s="41">
        <v>496186</v>
      </c>
      <c r="AY35" s="43">
        <v>408895</v>
      </c>
      <c r="AZ35" s="43">
        <v>62312</v>
      </c>
      <c r="BA35" s="43">
        <v>0</v>
      </c>
      <c r="BB35" s="39">
        <v>967393</v>
      </c>
      <c r="BC35" s="41">
        <v>398390</v>
      </c>
      <c r="BD35" s="43">
        <v>350334</v>
      </c>
      <c r="BE35" s="43">
        <v>-105</v>
      </c>
      <c r="BF35" s="43">
        <v>0</v>
      </c>
      <c r="BG35" s="39">
        <v>748619</v>
      </c>
      <c r="BH35" s="41">
        <v>0</v>
      </c>
      <c r="BI35" s="43">
        <v>0</v>
      </c>
      <c r="BJ35" s="43">
        <v>0</v>
      </c>
      <c r="BK35" s="43">
        <v>0</v>
      </c>
      <c r="BL35" s="39">
        <v>0</v>
      </c>
      <c r="BM35" s="41">
        <v>0</v>
      </c>
      <c r="BN35" s="43">
        <v>0</v>
      </c>
      <c r="BO35" s="43">
        <v>0</v>
      </c>
      <c r="BP35" s="43">
        <v>0</v>
      </c>
      <c r="BQ35" s="39">
        <v>0</v>
      </c>
      <c r="BR35" s="41">
        <v>4966912</v>
      </c>
      <c r="BS35" s="65">
        <v>5230183</v>
      </c>
      <c r="BT35" s="43">
        <v>310859</v>
      </c>
      <c r="BU35" s="43">
        <v>46</v>
      </c>
      <c r="BV35" s="41">
        <v>10508000</v>
      </c>
      <c r="BW35" s="9"/>
      <c r="BX35" s="206"/>
      <c r="CA35" s="264"/>
      <c r="CB35" s="1"/>
    </row>
    <row r="36" spans="1:80" ht="13.5" x14ac:dyDescent="0.25">
      <c r="A36" s="202">
        <v>30</v>
      </c>
      <c r="B36" s="203" t="s">
        <v>214</v>
      </c>
      <c r="D36" s="204"/>
      <c r="E36" s="66">
        <v>683786</v>
      </c>
      <c r="F36" s="65">
        <v>2565392</v>
      </c>
      <c r="G36" s="65">
        <v>31750</v>
      </c>
      <c r="H36" s="65">
        <v>0</v>
      </c>
      <c r="I36" s="39">
        <v>3280928</v>
      </c>
      <c r="J36" s="41">
        <v>25268</v>
      </c>
      <c r="K36" s="43">
        <v>0</v>
      </c>
      <c r="L36" s="43">
        <v>0</v>
      </c>
      <c r="M36" s="43">
        <v>27</v>
      </c>
      <c r="N36" s="39">
        <v>25295</v>
      </c>
      <c r="O36" s="43">
        <v>24248</v>
      </c>
      <c r="P36" s="43">
        <v>594685</v>
      </c>
      <c r="Q36" s="43">
        <v>0</v>
      </c>
      <c r="R36" s="43">
        <v>0</v>
      </c>
      <c r="S36" s="39">
        <v>618933</v>
      </c>
      <c r="T36" s="41">
        <v>31221</v>
      </c>
      <c r="U36" s="43">
        <v>118</v>
      </c>
      <c r="V36" s="43">
        <v>5293</v>
      </c>
      <c r="W36" s="43">
        <v>0</v>
      </c>
      <c r="X36" s="39">
        <v>36632</v>
      </c>
      <c r="Y36" s="41">
        <v>31653</v>
      </c>
      <c r="Z36" s="43">
        <v>115</v>
      </c>
      <c r="AA36" s="43">
        <v>251</v>
      </c>
      <c r="AB36" s="43">
        <v>0</v>
      </c>
      <c r="AC36" s="39">
        <v>32019</v>
      </c>
      <c r="AD36" s="41">
        <v>57688</v>
      </c>
      <c r="AE36" s="43">
        <v>403769</v>
      </c>
      <c r="AF36" s="43">
        <v>2330</v>
      </c>
      <c r="AG36" s="43">
        <v>0</v>
      </c>
      <c r="AH36" s="39">
        <v>463787</v>
      </c>
      <c r="AI36" s="41">
        <v>7912</v>
      </c>
      <c r="AJ36" s="43">
        <v>131435</v>
      </c>
      <c r="AK36" s="43">
        <v>426</v>
      </c>
      <c r="AL36" s="43">
        <v>0</v>
      </c>
      <c r="AM36" s="39">
        <v>139773</v>
      </c>
      <c r="AN36" s="41">
        <v>48433</v>
      </c>
      <c r="AO36" s="43">
        <v>632343</v>
      </c>
      <c r="AP36" s="43">
        <v>1548</v>
      </c>
      <c r="AQ36" s="43">
        <v>0</v>
      </c>
      <c r="AR36" s="39">
        <v>682324</v>
      </c>
      <c r="AS36" s="41">
        <v>43534</v>
      </c>
      <c r="AT36" s="43">
        <v>553</v>
      </c>
      <c r="AU36" s="43">
        <v>601</v>
      </c>
      <c r="AV36" s="43">
        <v>0</v>
      </c>
      <c r="AW36" s="39">
        <v>44688</v>
      </c>
      <c r="AX36" s="41">
        <v>41598</v>
      </c>
      <c r="AY36" s="43">
        <v>146</v>
      </c>
      <c r="AZ36" s="43">
        <v>328</v>
      </c>
      <c r="BA36" s="43">
        <v>0</v>
      </c>
      <c r="BB36" s="39">
        <v>42072</v>
      </c>
      <c r="BC36" s="41">
        <v>37784</v>
      </c>
      <c r="BD36" s="43">
        <v>403</v>
      </c>
      <c r="BE36" s="43">
        <v>401</v>
      </c>
      <c r="BF36" s="43">
        <v>0</v>
      </c>
      <c r="BG36" s="39">
        <v>38588</v>
      </c>
      <c r="BH36" s="41">
        <v>0</v>
      </c>
      <c r="BI36" s="43">
        <v>0</v>
      </c>
      <c r="BJ36" s="43">
        <v>0</v>
      </c>
      <c r="BK36" s="43">
        <v>0</v>
      </c>
      <c r="BL36" s="39">
        <v>0</v>
      </c>
      <c r="BM36" s="41">
        <v>0</v>
      </c>
      <c r="BN36" s="43">
        <v>0</v>
      </c>
      <c r="BO36" s="43">
        <v>0</v>
      </c>
      <c r="BP36" s="43">
        <v>0</v>
      </c>
      <c r="BQ36" s="39">
        <v>0</v>
      </c>
      <c r="BR36" s="41">
        <v>349339</v>
      </c>
      <c r="BS36" s="65">
        <v>1763567</v>
      </c>
      <c r="BT36" s="43">
        <v>11178</v>
      </c>
      <c r="BU36" s="43">
        <v>27</v>
      </c>
      <c r="BV36" s="41">
        <v>2124111</v>
      </c>
      <c r="BW36" s="9"/>
      <c r="BX36" s="206"/>
      <c r="CA36" s="264"/>
      <c r="CB36" s="1"/>
    </row>
    <row r="37" spans="1:80" ht="13.5" x14ac:dyDescent="0.25">
      <c r="A37" s="202">
        <v>31</v>
      </c>
      <c r="B37" s="203" t="s">
        <v>215</v>
      </c>
      <c r="D37" s="204"/>
      <c r="E37" s="66">
        <v>1942196</v>
      </c>
      <c r="F37" s="65">
        <v>1292282</v>
      </c>
      <c r="G37" s="65">
        <v>64827</v>
      </c>
      <c r="H37" s="65">
        <v>0</v>
      </c>
      <c r="I37" s="39">
        <v>3299305</v>
      </c>
      <c r="J37" s="41">
        <v>115225</v>
      </c>
      <c r="K37" s="43">
        <v>306678</v>
      </c>
      <c r="L37" s="43">
        <v>352</v>
      </c>
      <c r="M37" s="43">
        <v>0</v>
      </c>
      <c r="N37" s="39">
        <v>422255</v>
      </c>
      <c r="O37" s="43">
        <v>149897</v>
      </c>
      <c r="P37" s="43">
        <v>35228</v>
      </c>
      <c r="Q37" s="43">
        <v>0</v>
      </c>
      <c r="R37" s="43">
        <v>0</v>
      </c>
      <c r="S37" s="39">
        <v>185125</v>
      </c>
      <c r="T37" s="41">
        <v>130913</v>
      </c>
      <c r="U37" s="43">
        <v>8001</v>
      </c>
      <c r="V37" s="43">
        <v>30</v>
      </c>
      <c r="W37" s="43">
        <v>20</v>
      </c>
      <c r="X37" s="39">
        <v>138964</v>
      </c>
      <c r="Y37" s="41">
        <v>142056</v>
      </c>
      <c r="Z37" s="43">
        <v>35071</v>
      </c>
      <c r="AA37" s="43">
        <v>956</v>
      </c>
      <c r="AB37" s="43">
        <v>0</v>
      </c>
      <c r="AC37" s="39">
        <v>178083</v>
      </c>
      <c r="AD37" s="41">
        <v>158174</v>
      </c>
      <c r="AE37" s="43">
        <v>268748</v>
      </c>
      <c r="AF37" s="43">
        <v>881</v>
      </c>
      <c r="AG37" s="43">
        <v>0</v>
      </c>
      <c r="AH37" s="39">
        <v>427803</v>
      </c>
      <c r="AI37" s="41">
        <v>138936</v>
      </c>
      <c r="AJ37" s="43">
        <v>1105</v>
      </c>
      <c r="AK37" s="43">
        <v>3115</v>
      </c>
      <c r="AL37" s="43">
        <v>4</v>
      </c>
      <c r="AM37" s="39">
        <v>143160</v>
      </c>
      <c r="AN37" s="41">
        <v>162697</v>
      </c>
      <c r="AO37" s="43">
        <v>54255</v>
      </c>
      <c r="AP37" s="43">
        <v>5144</v>
      </c>
      <c r="AQ37" s="43">
        <v>31</v>
      </c>
      <c r="AR37" s="39">
        <v>222127</v>
      </c>
      <c r="AS37" s="41">
        <v>144996</v>
      </c>
      <c r="AT37" s="43">
        <v>252360</v>
      </c>
      <c r="AU37" s="43">
        <v>12094</v>
      </c>
      <c r="AV37" s="43">
        <v>2</v>
      </c>
      <c r="AW37" s="39">
        <v>409452</v>
      </c>
      <c r="AX37" s="41">
        <v>150119</v>
      </c>
      <c r="AY37" s="43">
        <v>38372</v>
      </c>
      <c r="AZ37" s="43">
        <v>15045</v>
      </c>
      <c r="BA37" s="43">
        <v>0</v>
      </c>
      <c r="BB37" s="39">
        <v>203536</v>
      </c>
      <c r="BC37" s="41">
        <v>127627</v>
      </c>
      <c r="BD37" s="43">
        <v>256125</v>
      </c>
      <c r="BE37" s="43">
        <v>40</v>
      </c>
      <c r="BF37" s="43">
        <v>0</v>
      </c>
      <c r="BG37" s="39">
        <v>383792</v>
      </c>
      <c r="BH37" s="41">
        <v>0</v>
      </c>
      <c r="BI37" s="43">
        <v>0</v>
      </c>
      <c r="BJ37" s="43">
        <v>0</v>
      </c>
      <c r="BK37" s="43">
        <v>0</v>
      </c>
      <c r="BL37" s="39">
        <v>0</v>
      </c>
      <c r="BM37" s="41">
        <v>0</v>
      </c>
      <c r="BN37" s="43">
        <v>0</v>
      </c>
      <c r="BO37" s="43">
        <v>0</v>
      </c>
      <c r="BP37" s="43">
        <v>0</v>
      </c>
      <c r="BQ37" s="39">
        <v>0</v>
      </c>
      <c r="BR37" s="41">
        <v>1420640</v>
      </c>
      <c r="BS37" s="65">
        <v>1255943</v>
      </c>
      <c r="BT37" s="43">
        <v>37657</v>
      </c>
      <c r="BU37" s="43">
        <v>57</v>
      </c>
      <c r="BV37" s="41">
        <v>2714297</v>
      </c>
      <c r="BW37" s="9"/>
      <c r="BX37" s="208"/>
      <c r="CA37" s="264"/>
      <c r="CB37" s="1"/>
    </row>
    <row r="38" spans="1:80" ht="13.5" x14ac:dyDescent="0.25">
      <c r="A38" s="202">
        <v>32</v>
      </c>
      <c r="B38" s="210" t="s">
        <v>216</v>
      </c>
      <c r="D38" s="204"/>
      <c r="E38" s="66">
        <v>6600377</v>
      </c>
      <c r="F38" s="65">
        <v>2935357</v>
      </c>
      <c r="G38" s="65">
        <v>402067</v>
      </c>
      <c r="H38" s="65">
        <v>0</v>
      </c>
      <c r="I38" s="39">
        <v>9937801</v>
      </c>
      <c r="J38" s="41">
        <v>225803</v>
      </c>
      <c r="K38" s="43">
        <v>153434</v>
      </c>
      <c r="L38" s="43">
        <v>152</v>
      </c>
      <c r="M38" s="43">
        <v>0</v>
      </c>
      <c r="N38" s="39">
        <v>379389</v>
      </c>
      <c r="O38" s="43">
        <v>473175</v>
      </c>
      <c r="P38" s="43">
        <v>109375</v>
      </c>
      <c r="Q38" s="43">
        <v>13208</v>
      </c>
      <c r="R38" s="43">
        <v>0</v>
      </c>
      <c r="S38" s="39">
        <v>595758</v>
      </c>
      <c r="T38" s="41">
        <v>370810</v>
      </c>
      <c r="U38" s="43">
        <v>58648</v>
      </c>
      <c r="V38" s="43">
        <v>30231</v>
      </c>
      <c r="W38" s="43">
        <v>0</v>
      </c>
      <c r="X38" s="39">
        <v>459689</v>
      </c>
      <c r="Y38" s="41">
        <v>319735</v>
      </c>
      <c r="Z38" s="43">
        <v>357030</v>
      </c>
      <c r="AA38" s="43">
        <v>17702</v>
      </c>
      <c r="AB38" s="43">
        <v>0</v>
      </c>
      <c r="AC38" s="39">
        <v>694467</v>
      </c>
      <c r="AD38" s="41">
        <v>519780</v>
      </c>
      <c r="AE38" s="43">
        <v>190750</v>
      </c>
      <c r="AF38" s="43">
        <v>19753</v>
      </c>
      <c r="AG38" s="43">
        <v>0</v>
      </c>
      <c r="AH38" s="39">
        <v>730283</v>
      </c>
      <c r="AI38" s="41">
        <v>302904</v>
      </c>
      <c r="AJ38" s="43">
        <v>213423</v>
      </c>
      <c r="AK38" s="43">
        <v>29019</v>
      </c>
      <c r="AL38" s="43">
        <v>0</v>
      </c>
      <c r="AM38" s="39">
        <v>545346</v>
      </c>
      <c r="AN38" s="41">
        <v>336489</v>
      </c>
      <c r="AO38" s="43">
        <v>465512</v>
      </c>
      <c r="AP38" s="43">
        <v>5922</v>
      </c>
      <c r="AQ38" s="43">
        <v>0</v>
      </c>
      <c r="AR38" s="39">
        <v>807923</v>
      </c>
      <c r="AS38" s="41">
        <v>507778</v>
      </c>
      <c r="AT38" s="43">
        <v>401311</v>
      </c>
      <c r="AU38" s="43">
        <v>18698</v>
      </c>
      <c r="AV38" s="43">
        <v>25</v>
      </c>
      <c r="AW38" s="39">
        <v>927812</v>
      </c>
      <c r="AX38" s="41">
        <v>510197</v>
      </c>
      <c r="AY38" s="43">
        <v>294705</v>
      </c>
      <c r="AZ38" s="43">
        <v>36968</v>
      </c>
      <c r="BA38" s="43">
        <v>0</v>
      </c>
      <c r="BB38" s="39">
        <v>841870</v>
      </c>
      <c r="BC38" s="41">
        <v>455959</v>
      </c>
      <c r="BD38" s="43">
        <v>256166</v>
      </c>
      <c r="BE38" s="43">
        <v>16266</v>
      </c>
      <c r="BF38" s="43">
        <v>0</v>
      </c>
      <c r="BG38" s="39">
        <v>728391</v>
      </c>
      <c r="BH38" s="41">
        <v>0</v>
      </c>
      <c r="BI38" s="43">
        <v>0</v>
      </c>
      <c r="BJ38" s="43">
        <v>0</v>
      </c>
      <c r="BK38" s="43">
        <v>0</v>
      </c>
      <c r="BL38" s="39">
        <v>0</v>
      </c>
      <c r="BM38" s="41">
        <v>0</v>
      </c>
      <c r="BN38" s="43">
        <v>0</v>
      </c>
      <c r="BO38" s="43">
        <v>0</v>
      </c>
      <c r="BP38" s="43">
        <v>0</v>
      </c>
      <c r="BQ38" s="39">
        <v>0</v>
      </c>
      <c r="BR38" s="41">
        <v>4022630</v>
      </c>
      <c r="BS38" s="65">
        <v>2500354</v>
      </c>
      <c r="BT38" s="43">
        <v>187919</v>
      </c>
      <c r="BU38" s="43">
        <v>25</v>
      </c>
      <c r="BV38" s="41">
        <v>6710928</v>
      </c>
      <c r="BW38" s="9"/>
      <c r="BX38" s="206"/>
      <c r="CA38" s="264"/>
      <c r="CB38" s="1"/>
    </row>
    <row r="39" spans="1:80" ht="13.5" x14ac:dyDescent="0.25">
      <c r="A39" s="211">
        <v>33</v>
      </c>
      <c r="B39" s="180" t="s">
        <v>217</v>
      </c>
      <c r="D39" s="216"/>
      <c r="E39" s="66">
        <v>851683</v>
      </c>
      <c r="F39" s="65">
        <v>28217470</v>
      </c>
      <c r="G39" s="65">
        <v>9866</v>
      </c>
      <c r="H39" s="65">
        <v>0</v>
      </c>
      <c r="I39" s="39">
        <v>29079019</v>
      </c>
      <c r="J39" s="41">
        <v>32666</v>
      </c>
      <c r="K39" s="43">
        <v>992442</v>
      </c>
      <c r="L39" s="43">
        <v>0</v>
      </c>
      <c r="M39" s="43">
        <v>0</v>
      </c>
      <c r="N39" s="39">
        <v>1025108</v>
      </c>
      <c r="O39" s="43">
        <v>33435</v>
      </c>
      <c r="P39" s="43">
        <v>1618754</v>
      </c>
      <c r="Q39" s="43">
        <v>86</v>
      </c>
      <c r="R39" s="43">
        <v>0</v>
      </c>
      <c r="S39" s="39">
        <v>1652275</v>
      </c>
      <c r="T39" s="41">
        <v>46418</v>
      </c>
      <c r="U39" s="43">
        <v>1572036</v>
      </c>
      <c r="V39" s="43">
        <v>620</v>
      </c>
      <c r="W39" s="43">
        <v>0</v>
      </c>
      <c r="X39" s="39">
        <v>1619074</v>
      </c>
      <c r="Y39" s="41">
        <v>45234</v>
      </c>
      <c r="Z39" s="43">
        <v>2833992</v>
      </c>
      <c r="AA39" s="43">
        <v>146</v>
      </c>
      <c r="AB39" s="43">
        <v>0</v>
      </c>
      <c r="AC39" s="39">
        <v>2879372</v>
      </c>
      <c r="AD39" s="41">
        <v>38469</v>
      </c>
      <c r="AE39" s="43">
        <v>1722425</v>
      </c>
      <c r="AF39" s="43">
        <v>323</v>
      </c>
      <c r="AG39" s="43">
        <v>3</v>
      </c>
      <c r="AH39" s="39">
        <v>1761220</v>
      </c>
      <c r="AI39" s="41">
        <v>47681</v>
      </c>
      <c r="AJ39" s="43">
        <v>1203873</v>
      </c>
      <c r="AK39" s="43">
        <v>796</v>
      </c>
      <c r="AL39" s="43">
        <v>0</v>
      </c>
      <c r="AM39" s="39">
        <v>1252350</v>
      </c>
      <c r="AN39" s="41">
        <v>68032</v>
      </c>
      <c r="AO39" s="43">
        <v>1774795</v>
      </c>
      <c r="AP39" s="43">
        <v>1640</v>
      </c>
      <c r="AQ39" s="43">
        <v>23</v>
      </c>
      <c r="AR39" s="39">
        <v>1844490</v>
      </c>
      <c r="AS39" s="41">
        <v>60357</v>
      </c>
      <c r="AT39" s="43">
        <v>4280349</v>
      </c>
      <c r="AU39" s="43">
        <v>1908</v>
      </c>
      <c r="AV39" s="43">
        <v>0</v>
      </c>
      <c r="AW39" s="39">
        <v>4342614</v>
      </c>
      <c r="AX39" s="41">
        <v>62002</v>
      </c>
      <c r="AY39" s="43">
        <v>1901347</v>
      </c>
      <c r="AZ39" s="43">
        <v>536</v>
      </c>
      <c r="BA39" s="43">
        <v>0</v>
      </c>
      <c r="BB39" s="39">
        <v>1963885</v>
      </c>
      <c r="BC39" s="41">
        <v>47615</v>
      </c>
      <c r="BD39" s="43">
        <v>1096395</v>
      </c>
      <c r="BE39" s="43">
        <v>278</v>
      </c>
      <c r="BF39" s="43">
        <v>0</v>
      </c>
      <c r="BG39" s="39">
        <v>1144288</v>
      </c>
      <c r="BH39" s="41">
        <v>0</v>
      </c>
      <c r="BI39" s="43">
        <v>0</v>
      </c>
      <c r="BJ39" s="43">
        <v>0</v>
      </c>
      <c r="BK39" s="43">
        <v>0</v>
      </c>
      <c r="BL39" s="39">
        <v>0</v>
      </c>
      <c r="BM39" s="41">
        <v>0</v>
      </c>
      <c r="BN39" s="43">
        <v>0</v>
      </c>
      <c r="BO39" s="43">
        <v>0</v>
      </c>
      <c r="BP39" s="43">
        <v>0</v>
      </c>
      <c r="BQ39" s="39">
        <v>0</v>
      </c>
      <c r="BR39" s="41">
        <v>481909</v>
      </c>
      <c r="BS39" s="65">
        <v>18996408</v>
      </c>
      <c r="BT39" s="43">
        <v>6333</v>
      </c>
      <c r="BU39" s="43">
        <v>26</v>
      </c>
      <c r="BV39" s="41">
        <v>19484676</v>
      </c>
      <c r="BW39" s="9"/>
      <c r="BX39" s="206"/>
      <c r="CA39" s="264"/>
      <c r="CB39" s="1"/>
    </row>
    <row r="40" spans="1:80" ht="13.5" x14ac:dyDescent="0.25">
      <c r="A40" s="202">
        <v>34</v>
      </c>
      <c r="B40" s="203" t="s">
        <v>218</v>
      </c>
      <c r="D40" s="204"/>
      <c r="E40" s="66">
        <v>1499015</v>
      </c>
      <c r="F40" s="65">
        <v>6049626</v>
      </c>
      <c r="G40" s="65">
        <v>18409</v>
      </c>
      <c r="H40" s="65">
        <v>0</v>
      </c>
      <c r="I40" s="39">
        <v>7567050</v>
      </c>
      <c r="J40" s="41">
        <v>95974</v>
      </c>
      <c r="K40" s="43">
        <v>644148</v>
      </c>
      <c r="L40" s="43">
        <v>89</v>
      </c>
      <c r="M40" s="43">
        <v>0</v>
      </c>
      <c r="N40" s="39">
        <v>740211</v>
      </c>
      <c r="O40" s="43">
        <v>110775</v>
      </c>
      <c r="P40" s="43">
        <v>97342</v>
      </c>
      <c r="Q40" s="43">
        <v>400</v>
      </c>
      <c r="R40" s="43">
        <v>0</v>
      </c>
      <c r="S40" s="39">
        <v>208517</v>
      </c>
      <c r="T40" s="41">
        <v>101866</v>
      </c>
      <c r="U40" s="43">
        <v>745555</v>
      </c>
      <c r="V40" s="43">
        <v>369</v>
      </c>
      <c r="W40" s="43">
        <v>0</v>
      </c>
      <c r="X40" s="39">
        <v>847790</v>
      </c>
      <c r="Y40" s="41">
        <v>108315</v>
      </c>
      <c r="Z40" s="43">
        <v>259529</v>
      </c>
      <c r="AA40" s="43">
        <v>375</v>
      </c>
      <c r="AB40" s="43">
        <v>0</v>
      </c>
      <c r="AC40" s="39">
        <v>368219</v>
      </c>
      <c r="AD40" s="41">
        <v>105876</v>
      </c>
      <c r="AE40" s="43">
        <v>1229322</v>
      </c>
      <c r="AF40" s="43">
        <v>2330</v>
      </c>
      <c r="AG40" s="43">
        <v>0</v>
      </c>
      <c r="AH40" s="39">
        <v>1337528</v>
      </c>
      <c r="AI40" s="41">
        <v>96302</v>
      </c>
      <c r="AJ40" s="43">
        <v>205214</v>
      </c>
      <c r="AK40" s="43">
        <v>46</v>
      </c>
      <c r="AL40" s="43">
        <v>0</v>
      </c>
      <c r="AM40" s="39">
        <v>301562</v>
      </c>
      <c r="AN40" s="41">
        <v>104096</v>
      </c>
      <c r="AO40" s="43">
        <v>653250</v>
      </c>
      <c r="AP40" s="43">
        <v>1054</v>
      </c>
      <c r="AQ40" s="43">
        <v>0</v>
      </c>
      <c r="AR40" s="39">
        <v>758400</v>
      </c>
      <c r="AS40" s="41">
        <v>102635</v>
      </c>
      <c r="AT40" s="43">
        <v>952745</v>
      </c>
      <c r="AU40" s="43">
        <v>672</v>
      </c>
      <c r="AV40" s="43">
        <v>0</v>
      </c>
      <c r="AW40" s="39">
        <v>1056052</v>
      </c>
      <c r="AX40" s="41">
        <v>100780</v>
      </c>
      <c r="AY40" s="43">
        <v>96450</v>
      </c>
      <c r="AZ40" s="43">
        <v>189</v>
      </c>
      <c r="BA40" s="43">
        <v>0</v>
      </c>
      <c r="BB40" s="39">
        <v>197419</v>
      </c>
      <c r="BC40" s="41">
        <v>87692</v>
      </c>
      <c r="BD40" s="43">
        <v>133584</v>
      </c>
      <c r="BE40" s="43">
        <v>-906</v>
      </c>
      <c r="BF40" s="43">
        <v>1457</v>
      </c>
      <c r="BG40" s="39">
        <v>221827</v>
      </c>
      <c r="BH40" s="41">
        <v>0</v>
      </c>
      <c r="BI40" s="43">
        <v>0</v>
      </c>
      <c r="BJ40" s="43">
        <v>0</v>
      </c>
      <c r="BK40" s="43">
        <v>0</v>
      </c>
      <c r="BL40" s="39">
        <v>0</v>
      </c>
      <c r="BM40" s="41">
        <v>0</v>
      </c>
      <c r="BN40" s="43">
        <v>0</v>
      </c>
      <c r="BO40" s="43">
        <v>0</v>
      </c>
      <c r="BP40" s="43">
        <v>0</v>
      </c>
      <c r="BQ40" s="39">
        <v>0</v>
      </c>
      <c r="BR40" s="41">
        <v>1014311</v>
      </c>
      <c r="BS40" s="65">
        <v>5017139</v>
      </c>
      <c r="BT40" s="43">
        <v>4618</v>
      </c>
      <c r="BU40" s="43">
        <v>1457</v>
      </c>
      <c r="BV40" s="41">
        <v>6037525</v>
      </c>
      <c r="BW40" s="9"/>
      <c r="BX40" s="208"/>
      <c r="CA40" s="264"/>
      <c r="CB40" s="1"/>
    </row>
    <row r="41" spans="1:80" ht="13.5" x14ac:dyDescent="0.25">
      <c r="A41" s="202">
        <v>35</v>
      </c>
      <c r="B41" s="203" t="s">
        <v>219</v>
      </c>
      <c r="D41" s="204"/>
      <c r="E41" s="66">
        <v>506974</v>
      </c>
      <c r="F41" s="65">
        <v>6767909</v>
      </c>
      <c r="G41" s="65">
        <v>3404</v>
      </c>
      <c r="H41" s="65">
        <v>0</v>
      </c>
      <c r="I41" s="39">
        <v>7278287</v>
      </c>
      <c r="J41" s="41">
        <v>28642</v>
      </c>
      <c r="K41" s="43">
        <v>907089</v>
      </c>
      <c r="L41" s="43">
        <v>149</v>
      </c>
      <c r="M41" s="43">
        <v>0</v>
      </c>
      <c r="N41" s="39">
        <v>935880</v>
      </c>
      <c r="O41" s="43">
        <v>26527</v>
      </c>
      <c r="P41" s="43">
        <v>49000</v>
      </c>
      <c r="Q41" s="43">
        <v>0</v>
      </c>
      <c r="R41" s="43">
        <v>0</v>
      </c>
      <c r="S41" s="39">
        <v>75527</v>
      </c>
      <c r="T41" s="41">
        <v>34234</v>
      </c>
      <c r="U41" s="43">
        <v>19668</v>
      </c>
      <c r="V41" s="43">
        <v>567</v>
      </c>
      <c r="W41" s="43">
        <v>0</v>
      </c>
      <c r="X41" s="39">
        <v>54469</v>
      </c>
      <c r="Y41" s="41">
        <v>31585</v>
      </c>
      <c r="Z41" s="43">
        <v>989667</v>
      </c>
      <c r="AA41" s="43">
        <v>200</v>
      </c>
      <c r="AB41" s="43">
        <v>0</v>
      </c>
      <c r="AC41" s="39">
        <v>1021452</v>
      </c>
      <c r="AD41" s="41">
        <v>38095</v>
      </c>
      <c r="AE41" s="43">
        <v>1283657</v>
      </c>
      <c r="AF41" s="43">
        <v>301</v>
      </c>
      <c r="AG41" s="43">
        <v>0</v>
      </c>
      <c r="AH41" s="39">
        <v>1322053</v>
      </c>
      <c r="AI41" s="41">
        <v>36997</v>
      </c>
      <c r="AJ41" s="43">
        <v>265718</v>
      </c>
      <c r="AK41" s="43">
        <v>-156</v>
      </c>
      <c r="AL41" s="43">
        <v>68</v>
      </c>
      <c r="AM41" s="39">
        <v>302627</v>
      </c>
      <c r="AN41" s="41">
        <v>36390</v>
      </c>
      <c r="AO41" s="43">
        <v>698426</v>
      </c>
      <c r="AP41" s="43">
        <v>21</v>
      </c>
      <c r="AQ41" s="43">
        <v>11</v>
      </c>
      <c r="AR41" s="39">
        <v>734848</v>
      </c>
      <c r="AS41" s="41">
        <v>33056</v>
      </c>
      <c r="AT41" s="43">
        <v>420973</v>
      </c>
      <c r="AU41" s="43">
        <v>2894</v>
      </c>
      <c r="AV41" s="43">
        <v>20</v>
      </c>
      <c r="AW41" s="39">
        <v>456943</v>
      </c>
      <c r="AX41" s="41">
        <v>45280</v>
      </c>
      <c r="AY41" s="43">
        <v>839762</v>
      </c>
      <c r="AZ41" s="43">
        <v>557</v>
      </c>
      <c r="BA41" s="43">
        <v>0</v>
      </c>
      <c r="BB41" s="39">
        <v>885599</v>
      </c>
      <c r="BC41" s="41">
        <v>32671</v>
      </c>
      <c r="BD41" s="43">
        <v>457085</v>
      </c>
      <c r="BE41" s="43">
        <v>104</v>
      </c>
      <c r="BF41" s="43">
        <v>0</v>
      </c>
      <c r="BG41" s="39">
        <v>489860</v>
      </c>
      <c r="BH41" s="41">
        <v>0</v>
      </c>
      <c r="BI41" s="43">
        <v>0</v>
      </c>
      <c r="BJ41" s="43">
        <v>0</v>
      </c>
      <c r="BK41" s="43">
        <v>0</v>
      </c>
      <c r="BL41" s="39">
        <v>0</v>
      </c>
      <c r="BM41" s="41">
        <v>0</v>
      </c>
      <c r="BN41" s="43">
        <v>0</v>
      </c>
      <c r="BO41" s="43">
        <v>0</v>
      </c>
      <c r="BP41" s="43">
        <v>0</v>
      </c>
      <c r="BQ41" s="39">
        <v>0</v>
      </c>
      <c r="BR41" s="41">
        <v>343477</v>
      </c>
      <c r="BS41" s="65">
        <v>5931045</v>
      </c>
      <c r="BT41" s="43">
        <v>4637</v>
      </c>
      <c r="BU41" s="43">
        <v>99</v>
      </c>
      <c r="BV41" s="41">
        <v>6279258</v>
      </c>
      <c r="BW41" s="9"/>
      <c r="BX41" s="208"/>
      <c r="CA41" s="264"/>
      <c r="CB41" s="1"/>
    </row>
    <row r="42" spans="1:80" ht="13.5" x14ac:dyDescent="0.25">
      <c r="A42" s="202">
        <v>36</v>
      </c>
      <c r="B42" s="180" t="s">
        <v>220</v>
      </c>
      <c r="D42" s="204"/>
      <c r="E42" s="66">
        <v>196051</v>
      </c>
      <c r="F42" s="65">
        <v>2077528</v>
      </c>
      <c r="G42" s="65">
        <v>4224</v>
      </c>
      <c r="H42" s="65">
        <v>0</v>
      </c>
      <c r="I42" s="39">
        <v>2277803</v>
      </c>
      <c r="J42" s="41">
        <v>13296</v>
      </c>
      <c r="K42" s="43">
        <v>94236</v>
      </c>
      <c r="L42" s="43">
        <v>331</v>
      </c>
      <c r="M42" s="43">
        <v>0</v>
      </c>
      <c r="N42" s="39">
        <v>107863</v>
      </c>
      <c r="O42" s="43">
        <v>15549</v>
      </c>
      <c r="P42" s="43">
        <v>502419</v>
      </c>
      <c r="Q42" s="43">
        <v>184</v>
      </c>
      <c r="R42" s="43">
        <v>0</v>
      </c>
      <c r="S42" s="39">
        <v>518152</v>
      </c>
      <c r="T42" s="41">
        <v>12426</v>
      </c>
      <c r="U42" s="43">
        <v>89876</v>
      </c>
      <c r="V42" s="43">
        <v>429</v>
      </c>
      <c r="W42" s="43">
        <v>0</v>
      </c>
      <c r="X42" s="39">
        <v>102731</v>
      </c>
      <c r="Y42" s="41">
        <v>11928</v>
      </c>
      <c r="Z42" s="43">
        <v>244226</v>
      </c>
      <c r="AA42" s="43">
        <v>418</v>
      </c>
      <c r="AB42" s="43">
        <v>0</v>
      </c>
      <c r="AC42" s="39">
        <v>256572</v>
      </c>
      <c r="AD42" s="41">
        <v>12624</v>
      </c>
      <c r="AE42" s="43">
        <v>548919</v>
      </c>
      <c r="AF42" s="43">
        <v>34</v>
      </c>
      <c r="AG42" s="43">
        <v>0</v>
      </c>
      <c r="AH42" s="39">
        <v>561577</v>
      </c>
      <c r="AI42" s="41">
        <v>21376</v>
      </c>
      <c r="AJ42" s="43">
        <v>183356</v>
      </c>
      <c r="AK42" s="43">
        <v>172</v>
      </c>
      <c r="AL42" s="43">
        <v>0</v>
      </c>
      <c r="AM42" s="39">
        <v>204904</v>
      </c>
      <c r="AN42" s="41">
        <v>15074</v>
      </c>
      <c r="AO42" s="43">
        <v>7647</v>
      </c>
      <c r="AP42" s="43">
        <v>173</v>
      </c>
      <c r="AQ42" s="43">
        <v>0</v>
      </c>
      <c r="AR42" s="39">
        <v>22894</v>
      </c>
      <c r="AS42" s="41">
        <v>15830</v>
      </c>
      <c r="AT42" s="43">
        <v>88657</v>
      </c>
      <c r="AU42" s="43">
        <v>482</v>
      </c>
      <c r="AV42" s="43">
        <v>0</v>
      </c>
      <c r="AW42" s="39">
        <v>104969</v>
      </c>
      <c r="AX42" s="41">
        <v>16023</v>
      </c>
      <c r="AY42" s="43">
        <v>170724</v>
      </c>
      <c r="AZ42" s="43">
        <v>331</v>
      </c>
      <c r="BA42" s="43">
        <v>0</v>
      </c>
      <c r="BB42" s="39">
        <v>187078</v>
      </c>
      <c r="BC42" s="41">
        <v>13181</v>
      </c>
      <c r="BD42" s="43">
        <v>71694</v>
      </c>
      <c r="BE42" s="43">
        <v>130</v>
      </c>
      <c r="BF42" s="43">
        <v>0</v>
      </c>
      <c r="BG42" s="39">
        <v>85005</v>
      </c>
      <c r="BH42" s="41">
        <v>0</v>
      </c>
      <c r="BI42" s="43">
        <v>0</v>
      </c>
      <c r="BJ42" s="43">
        <v>0</v>
      </c>
      <c r="BK42" s="43">
        <v>0</v>
      </c>
      <c r="BL42" s="39">
        <v>0</v>
      </c>
      <c r="BM42" s="41">
        <v>0</v>
      </c>
      <c r="BN42" s="43">
        <v>0</v>
      </c>
      <c r="BO42" s="43">
        <v>0</v>
      </c>
      <c r="BP42" s="43">
        <v>0</v>
      </c>
      <c r="BQ42" s="39">
        <v>0</v>
      </c>
      <c r="BR42" s="41">
        <v>147307</v>
      </c>
      <c r="BS42" s="65">
        <v>2001754</v>
      </c>
      <c r="BT42" s="43">
        <v>2684</v>
      </c>
      <c r="BU42" s="43">
        <v>0</v>
      </c>
      <c r="BV42" s="41">
        <v>2151745</v>
      </c>
      <c r="BW42" s="9"/>
      <c r="BX42" s="206"/>
      <c r="CA42" s="264"/>
      <c r="CB42" s="1"/>
    </row>
    <row r="43" spans="1:80" ht="13.5" x14ac:dyDescent="0.25">
      <c r="A43" s="202">
        <v>37</v>
      </c>
      <c r="B43" s="180" t="s">
        <v>221</v>
      </c>
      <c r="D43" s="215"/>
      <c r="E43" s="66">
        <v>850680</v>
      </c>
      <c r="F43" s="65">
        <v>4332970</v>
      </c>
      <c r="G43" s="65">
        <v>127088</v>
      </c>
      <c r="H43" s="65">
        <v>0</v>
      </c>
      <c r="I43" s="39">
        <v>5310738</v>
      </c>
      <c r="J43" s="41">
        <v>34632</v>
      </c>
      <c r="K43" s="43">
        <v>668650</v>
      </c>
      <c r="L43" s="43">
        <v>0</v>
      </c>
      <c r="M43" s="43">
        <v>0</v>
      </c>
      <c r="N43" s="39">
        <v>703282</v>
      </c>
      <c r="O43" s="43">
        <v>54736</v>
      </c>
      <c r="P43" s="43">
        <v>160450</v>
      </c>
      <c r="Q43" s="43">
        <v>0</v>
      </c>
      <c r="R43" s="43">
        <v>7</v>
      </c>
      <c r="S43" s="39">
        <v>215193</v>
      </c>
      <c r="T43" s="41">
        <v>93941</v>
      </c>
      <c r="U43" s="43">
        <v>51604</v>
      </c>
      <c r="V43" s="43">
        <v>491</v>
      </c>
      <c r="W43" s="43">
        <v>0</v>
      </c>
      <c r="X43" s="39">
        <v>146036</v>
      </c>
      <c r="Y43" s="41">
        <v>44933</v>
      </c>
      <c r="Z43" s="43">
        <v>825902</v>
      </c>
      <c r="AA43" s="43">
        <v>1653</v>
      </c>
      <c r="AB43" s="43">
        <v>0</v>
      </c>
      <c r="AC43" s="39">
        <v>872488</v>
      </c>
      <c r="AD43" s="41">
        <v>89369</v>
      </c>
      <c r="AE43" s="43">
        <v>40846</v>
      </c>
      <c r="AF43" s="43">
        <v>-47</v>
      </c>
      <c r="AG43" s="43">
        <v>7</v>
      </c>
      <c r="AH43" s="39">
        <v>130175</v>
      </c>
      <c r="AI43" s="41">
        <v>41967</v>
      </c>
      <c r="AJ43" s="43">
        <v>206222</v>
      </c>
      <c r="AK43" s="43">
        <v>5632</v>
      </c>
      <c r="AL43" s="43">
        <v>0</v>
      </c>
      <c r="AM43" s="39">
        <v>253821</v>
      </c>
      <c r="AN43" s="41">
        <v>51151</v>
      </c>
      <c r="AO43" s="43">
        <v>707456</v>
      </c>
      <c r="AP43" s="43">
        <v>13709</v>
      </c>
      <c r="AQ43" s="43">
        <v>0</v>
      </c>
      <c r="AR43" s="39">
        <v>772316</v>
      </c>
      <c r="AS43" s="41">
        <v>49339</v>
      </c>
      <c r="AT43" s="43">
        <v>390516</v>
      </c>
      <c r="AU43" s="43">
        <v>244</v>
      </c>
      <c r="AV43" s="43">
        <v>0</v>
      </c>
      <c r="AW43" s="39">
        <v>440099</v>
      </c>
      <c r="AX43" s="41">
        <v>63499</v>
      </c>
      <c r="AY43" s="43">
        <v>139524</v>
      </c>
      <c r="AZ43" s="43">
        <v>1856</v>
      </c>
      <c r="BA43" s="43">
        <v>0</v>
      </c>
      <c r="BB43" s="39">
        <v>204879</v>
      </c>
      <c r="BC43" s="41">
        <v>38139</v>
      </c>
      <c r="BD43" s="43">
        <v>570660</v>
      </c>
      <c r="BE43" s="43">
        <v>462</v>
      </c>
      <c r="BF43" s="43">
        <v>0</v>
      </c>
      <c r="BG43" s="39">
        <v>609261</v>
      </c>
      <c r="BH43" s="41">
        <v>0</v>
      </c>
      <c r="BI43" s="43">
        <v>0</v>
      </c>
      <c r="BJ43" s="43">
        <v>0</v>
      </c>
      <c r="BK43" s="43">
        <v>0</v>
      </c>
      <c r="BL43" s="39">
        <v>0</v>
      </c>
      <c r="BM43" s="41">
        <v>0</v>
      </c>
      <c r="BN43" s="43">
        <v>0</v>
      </c>
      <c r="BO43" s="43">
        <v>0</v>
      </c>
      <c r="BP43" s="43">
        <v>0</v>
      </c>
      <c r="BQ43" s="39">
        <v>0</v>
      </c>
      <c r="BR43" s="41">
        <v>561706</v>
      </c>
      <c r="BS43" s="65">
        <v>3761830</v>
      </c>
      <c r="BT43" s="43">
        <v>24000</v>
      </c>
      <c r="BU43" s="43">
        <v>14</v>
      </c>
      <c r="BV43" s="41">
        <v>4347550</v>
      </c>
      <c r="BW43" s="9"/>
      <c r="BX43" s="208"/>
      <c r="CA43" s="264"/>
      <c r="CB43" s="1"/>
    </row>
    <row r="44" spans="1:80" ht="13.5" x14ac:dyDescent="0.25">
      <c r="A44" s="202">
        <v>38</v>
      </c>
      <c r="B44" s="203" t="s">
        <v>222</v>
      </c>
      <c r="D44" s="204"/>
      <c r="E44" s="66">
        <v>949529</v>
      </c>
      <c r="F44" s="65">
        <v>473551</v>
      </c>
      <c r="G44" s="65">
        <v>3780</v>
      </c>
      <c r="H44" s="65">
        <v>0</v>
      </c>
      <c r="I44" s="39">
        <v>1426860</v>
      </c>
      <c r="J44" s="41">
        <v>46005</v>
      </c>
      <c r="K44" s="43">
        <v>11</v>
      </c>
      <c r="L44" s="43">
        <v>1072</v>
      </c>
      <c r="M44" s="43">
        <v>0</v>
      </c>
      <c r="N44" s="39">
        <v>47088</v>
      </c>
      <c r="O44" s="43">
        <v>59713</v>
      </c>
      <c r="P44" s="43">
        <v>143631</v>
      </c>
      <c r="Q44" s="43">
        <v>436</v>
      </c>
      <c r="R44" s="43">
        <v>0</v>
      </c>
      <c r="S44" s="39">
        <v>203780</v>
      </c>
      <c r="T44" s="41">
        <v>44346</v>
      </c>
      <c r="U44" s="43">
        <v>33191</v>
      </c>
      <c r="V44" s="43">
        <v>1249</v>
      </c>
      <c r="W44" s="43">
        <v>0</v>
      </c>
      <c r="X44" s="39">
        <v>78786</v>
      </c>
      <c r="Y44" s="41">
        <v>39142</v>
      </c>
      <c r="Z44" s="43">
        <v>98744</v>
      </c>
      <c r="AA44" s="43">
        <v>1629</v>
      </c>
      <c r="AB44" s="43">
        <v>0</v>
      </c>
      <c r="AC44" s="39">
        <v>139515</v>
      </c>
      <c r="AD44" s="41">
        <v>36557</v>
      </c>
      <c r="AE44" s="43">
        <v>141</v>
      </c>
      <c r="AF44" s="43">
        <v>783</v>
      </c>
      <c r="AG44" s="43">
        <v>0</v>
      </c>
      <c r="AH44" s="39">
        <v>37481</v>
      </c>
      <c r="AI44" s="41">
        <v>43258</v>
      </c>
      <c r="AJ44" s="43">
        <v>11</v>
      </c>
      <c r="AK44" s="43">
        <v>117</v>
      </c>
      <c r="AL44" s="43">
        <v>0</v>
      </c>
      <c r="AM44" s="39">
        <v>43386</v>
      </c>
      <c r="AN44" s="41">
        <v>43915</v>
      </c>
      <c r="AO44" s="43">
        <v>99876</v>
      </c>
      <c r="AP44" s="43">
        <v>510</v>
      </c>
      <c r="AQ44" s="43">
        <v>0</v>
      </c>
      <c r="AR44" s="39">
        <v>144301</v>
      </c>
      <c r="AS44" s="41">
        <v>54666</v>
      </c>
      <c r="AT44" s="43">
        <v>-1010</v>
      </c>
      <c r="AU44" s="43">
        <v>756</v>
      </c>
      <c r="AV44" s="43">
        <v>2</v>
      </c>
      <c r="AW44" s="39">
        <v>54414</v>
      </c>
      <c r="AX44" s="41">
        <v>47467</v>
      </c>
      <c r="AY44" s="43">
        <v>3425</v>
      </c>
      <c r="AZ44" s="43">
        <v>902</v>
      </c>
      <c r="BA44" s="43">
        <v>0</v>
      </c>
      <c r="BB44" s="39">
        <v>51794</v>
      </c>
      <c r="BC44" s="41">
        <v>35539</v>
      </c>
      <c r="BD44" s="43">
        <v>82784</v>
      </c>
      <c r="BE44" s="43">
        <v>125</v>
      </c>
      <c r="BF44" s="43">
        <v>0</v>
      </c>
      <c r="BG44" s="39">
        <v>118448</v>
      </c>
      <c r="BH44" s="41">
        <v>0</v>
      </c>
      <c r="BI44" s="43">
        <v>0</v>
      </c>
      <c r="BJ44" s="43">
        <v>0</v>
      </c>
      <c r="BK44" s="43">
        <v>0</v>
      </c>
      <c r="BL44" s="39">
        <v>0</v>
      </c>
      <c r="BM44" s="41">
        <v>0</v>
      </c>
      <c r="BN44" s="43">
        <v>0</v>
      </c>
      <c r="BO44" s="43">
        <v>0</v>
      </c>
      <c r="BP44" s="43">
        <v>0</v>
      </c>
      <c r="BQ44" s="39">
        <v>0</v>
      </c>
      <c r="BR44" s="41">
        <v>450608</v>
      </c>
      <c r="BS44" s="65">
        <v>460804</v>
      </c>
      <c r="BT44" s="43">
        <v>7579</v>
      </c>
      <c r="BU44" s="43">
        <v>2</v>
      </c>
      <c r="BV44" s="41">
        <v>918993</v>
      </c>
      <c r="BW44" s="9"/>
      <c r="BX44" s="206"/>
      <c r="CA44" s="264"/>
      <c r="CB44" s="1"/>
    </row>
    <row r="45" spans="1:80" ht="13.5" x14ac:dyDescent="0.25">
      <c r="A45" s="202">
        <v>39</v>
      </c>
      <c r="B45" s="203" t="s">
        <v>223</v>
      </c>
      <c r="D45" s="204"/>
      <c r="E45" s="66">
        <v>1759525</v>
      </c>
      <c r="F45" s="65">
        <v>7497018</v>
      </c>
      <c r="G45" s="65">
        <v>16729</v>
      </c>
      <c r="H45" s="65">
        <v>0</v>
      </c>
      <c r="I45" s="39">
        <v>9273272</v>
      </c>
      <c r="J45" s="41">
        <v>127284</v>
      </c>
      <c r="K45" s="43">
        <v>1011184</v>
      </c>
      <c r="L45" s="43">
        <v>0</v>
      </c>
      <c r="M45" s="43">
        <v>0</v>
      </c>
      <c r="N45" s="39">
        <v>1138468</v>
      </c>
      <c r="O45" s="43">
        <v>86935</v>
      </c>
      <c r="P45" s="43">
        <v>734162</v>
      </c>
      <c r="Q45" s="43">
        <v>0</v>
      </c>
      <c r="R45" s="43">
        <v>0</v>
      </c>
      <c r="S45" s="39">
        <v>821097</v>
      </c>
      <c r="T45" s="41">
        <v>114405</v>
      </c>
      <c r="U45" s="43">
        <v>571137</v>
      </c>
      <c r="V45" s="43">
        <v>5701</v>
      </c>
      <c r="W45" s="43">
        <v>0</v>
      </c>
      <c r="X45" s="39">
        <v>691243</v>
      </c>
      <c r="Y45" s="41">
        <v>139251</v>
      </c>
      <c r="Z45" s="43">
        <v>286148</v>
      </c>
      <c r="AA45" s="43">
        <v>311</v>
      </c>
      <c r="AB45" s="43">
        <v>0</v>
      </c>
      <c r="AC45" s="39">
        <v>425710</v>
      </c>
      <c r="AD45" s="41">
        <v>149611</v>
      </c>
      <c r="AE45" s="43">
        <v>203952</v>
      </c>
      <c r="AF45" s="43">
        <v>4921</v>
      </c>
      <c r="AG45" s="43">
        <v>0</v>
      </c>
      <c r="AH45" s="39">
        <v>358484</v>
      </c>
      <c r="AI45" s="41">
        <v>129839</v>
      </c>
      <c r="AJ45" s="43">
        <v>448715</v>
      </c>
      <c r="AK45" s="43">
        <v>280</v>
      </c>
      <c r="AL45" s="43">
        <v>0</v>
      </c>
      <c r="AM45" s="39">
        <v>578834</v>
      </c>
      <c r="AN45" s="41">
        <v>119656</v>
      </c>
      <c r="AO45" s="43">
        <v>181264</v>
      </c>
      <c r="AP45" s="43">
        <v>57</v>
      </c>
      <c r="AQ45" s="43">
        <v>0</v>
      </c>
      <c r="AR45" s="39">
        <v>300977</v>
      </c>
      <c r="AS45" s="41">
        <v>133399</v>
      </c>
      <c r="AT45" s="43">
        <v>168670</v>
      </c>
      <c r="AU45" s="43">
        <v>494</v>
      </c>
      <c r="AV45" s="43">
        <v>0</v>
      </c>
      <c r="AW45" s="39">
        <v>302563</v>
      </c>
      <c r="AX45" s="41">
        <v>112256</v>
      </c>
      <c r="AY45" s="43">
        <v>371390</v>
      </c>
      <c r="AZ45" s="43">
        <v>0</v>
      </c>
      <c r="BA45" s="43">
        <v>0</v>
      </c>
      <c r="BB45" s="39">
        <v>483646</v>
      </c>
      <c r="BC45" s="41">
        <v>116911</v>
      </c>
      <c r="BD45" s="43">
        <v>348822</v>
      </c>
      <c r="BE45" s="43">
        <v>640</v>
      </c>
      <c r="BF45" s="43">
        <v>0</v>
      </c>
      <c r="BG45" s="39">
        <v>466373</v>
      </c>
      <c r="BH45" s="41">
        <v>0</v>
      </c>
      <c r="BI45" s="43">
        <v>0</v>
      </c>
      <c r="BJ45" s="43">
        <v>0</v>
      </c>
      <c r="BK45" s="43">
        <v>0</v>
      </c>
      <c r="BL45" s="39">
        <v>0</v>
      </c>
      <c r="BM45" s="41">
        <v>0</v>
      </c>
      <c r="BN45" s="43">
        <v>0</v>
      </c>
      <c r="BO45" s="43">
        <v>0</v>
      </c>
      <c r="BP45" s="43">
        <v>0</v>
      </c>
      <c r="BQ45" s="39">
        <v>0</v>
      </c>
      <c r="BR45" s="41">
        <v>1229547</v>
      </c>
      <c r="BS45" s="65">
        <v>4325444</v>
      </c>
      <c r="BT45" s="43">
        <v>12404</v>
      </c>
      <c r="BU45" s="43">
        <v>0</v>
      </c>
      <c r="BV45" s="41">
        <v>5567395</v>
      </c>
      <c r="BW45" s="9"/>
      <c r="BX45" s="206"/>
      <c r="CA45" s="264"/>
      <c r="CB45" s="1"/>
    </row>
    <row r="46" spans="1:80" ht="12" customHeight="1" x14ac:dyDescent="0.25">
      <c r="A46" s="202">
        <v>40</v>
      </c>
      <c r="B46" s="203" t="s">
        <v>224</v>
      </c>
      <c r="D46" s="204"/>
      <c r="E46" s="66">
        <v>1386016</v>
      </c>
      <c r="F46" s="65">
        <v>53638692</v>
      </c>
      <c r="G46" s="65">
        <v>5277</v>
      </c>
      <c r="H46" s="65">
        <v>2324750</v>
      </c>
      <c r="I46" s="39">
        <v>57354735</v>
      </c>
      <c r="J46" s="41">
        <v>51967</v>
      </c>
      <c r="K46" s="43">
        <v>7903395</v>
      </c>
      <c r="L46" s="43">
        <v>0</v>
      </c>
      <c r="M46" s="43">
        <v>0</v>
      </c>
      <c r="N46" s="39">
        <v>7955362</v>
      </c>
      <c r="O46" s="43">
        <v>84343</v>
      </c>
      <c r="P46" s="43">
        <v>3302592</v>
      </c>
      <c r="Q46" s="43">
        <v>40</v>
      </c>
      <c r="R46" s="43">
        <v>0</v>
      </c>
      <c r="S46" s="39">
        <v>3386975</v>
      </c>
      <c r="T46" s="41">
        <v>63315</v>
      </c>
      <c r="U46" s="43">
        <v>1490693</v>
      </c>
      <c r="V46" s="43">
        <v>34</v>
      </c>
      <c r="W46" s="43">
        <v>0</v>
      </c>
      <c r="X46" s="39">
        <v>1554042</v>
      </c>
      <c r="Y46" s="41">
        <v>70005</v>
      </c>
      <c r="Z46" s="43">
        <v>8449559</v>
      </c>
      <c r="AA46" s="43">
        <v>52</v>
      </c>
      <c r="AB46" s="43">
        <v>0</v>
      </c>
      <c r="AC46" s="39">
        <v>8519616</v>
      </c>
      <c r="AD46" s="41">
        <v>112281</v>
      </c>
      <c r="AE46" s="43">
        <v>3566488</v>
      </c>
      <c r="AF46" s="43">
        <v>581</v>
      </c>
      <c r="AG46" s="43">
        <v>631</v>
      </c>
      <c r="AH46" s="39">
        <v>3679981</v>
      </c>
      <c r="AI46" s="41">
        <v>78163</v>
      </c>
      <c r="AJ46" s="43">
        <v>2426042</v>
      </c>
      <c r="AK46" s="43">
        <v>1466</v>
      </c>
      <c r="AL46" s="43">
        <v>0</v>
      </c>
      <c r="AM46" s="39">
        <v>2505671</v>
      </c>
      <c r="AN46" s="41">
        <v>84540</v>
      </c>
      <c r="AO46" s="43">
        <v>8643106</v>
      </c>
      <c r="AP46" s="43">
        <v>762</v>
      </c>
      <c r="AQ46" s="43">
        <v>0</v>
      </c>
      <c r="AR46" s="39">
        <v>8728408</v>
      </c>
      <c r="AS46" s="41">
        <v>80243</v>
      </c>
      <c r="AT46" s="43">
        <v>4756959</v>
      </c>
      <c r="AU46" s="43">
        <v>1316</v>
      </c>
      <c r="AV46" s="43">
        <v>0</v>
      </c>
      <c r="AW46" s="39">
        <v>4838518</v>
      </c>
      <c r="AX46" s="41">
        <v>91694</v>
      </c>
      <c r="AY46" s="43">
        <v>1138751</v>
      </c>
      <c r="AZ46" s="43">
        <v>648</v>
      </c>
      <c r="BA46" s="43">
        <v>0</v>
      </c>
      <c r="BB46" s="39">
        <v>1231093</v>
      </c>
      <c r="BC46" s="41">
        <v>58095</v>
      </c>
      <c r="BD46" s="43">
        <v>2970545</v>
      </c>
      <c r="BE46" s="43">
        <v>301</v>
      </c>
      <c r="BF46" s="43">
        <v>0</v>
      </c>
      <c r="BG46" s="39">
        <v>3028941</v>
      </c>
      <c r="BH46" s="41">
        <v>0</v>
      </c>
      <c r="BI46" s="43">
        <v>0</v>
      </c>
      <c r="BJ46" s="43">
        <v>0</v>
      </c>
      <c r="BK46" s="43">
        <v>0</v>
      </c>
      <c r="BL46" s="39">
        <v>0</v>
      </c>
      <c r="BM46" s="41">
        <v>0</v>
      </c>
      <c r="BN46" s="43">
        <v>0</v>
      </c>
      <c r="BO46" s="43">
        <v>0</v>
      </c>
      <c r="BP46" s="43">
        <v>0</v>
      </c>
      <c r="BQ46" s="39">
        <v>0</v>
      </c>
      <c r="BR46" s="41">
        <v>774646</v>
      </c>
      <c r="BS46" s="65">
        <v>44648130</v>
      </c>
      <c r="BT46" s="43">
        <v>5200</v>
      </c>
      <c r="BU46" s="43">
        <v>631</v>
      </c>
      <c r="BV46" s="41">
        <v>45428607</v>
      </c>
      <c r="BW46" s="9"/>
      <c r="BX46" s="208"/>
      <c r="CA46" s="264"/>
      <c r="CB46" s="1"/>
    </row>
    <row r="47" spans="1:80" ht="13.5" x14ac:dyDescent="0.25">
      <c r="A47" s="217">
        <v>41</v>
      </c>
      <c r="B47" s="218" t="s">
        <v>225</v>
      </c>
      <c r="C47" s="219"/>
      <c r="D47" s="220"/>
      <c r="E47" s="66">
        <v>3912007</v>
      </c>
      <c r="F47" s="65">
        <v>8832352</v>
      </c>
      <c r="G47" s="65">
        <v>4249932</v>
      </c>
      <c r="H47" s="65">
        <v>0</v>
      </c>
      <c r="I47" s="39">
        <v>16994291</v>
      </c>
      <c r="J47" s="41">
        <v>146563</v>
      </c>
      <c r="K47" s="43">
        <v>9809</v>
      </c>
      <c r="L47" s="43">
        <v>81382</v>
      </c>
      <c r="M47" s="43">
        <v>0</v>
      </c>
      <c r="N47" s="39">
        <v>237754</v>
      </c>
      <c r="O47" s="43">
        <v>256175</v>
      </c>
      <c r="P47" s="43">
        <v>770443</v>
      </c>
      <c r="Q47" s="43">
        <v>31191</v>
      </c>
      <c r="R47" s="43">
        <v>0</v>
      </c>
      <c r="S47" s="39">
        <v>1057809</v>
      </c>
      <c r="T47" s="41">
        <v>218438</v>
      </c>
      <c r="U47" s="43">
        <v>232244</v>
      </c>
      <c r="V47" s="43">
        <v>22379</v>
      </c>
      <c r="W47" s="43">
        <v>0</v>
      </c>
      <c r="X47" s="39">
        <v>473061</v>
      </c>
      <c r="Y47" s="41">
        <v>186291</v>
      </c>
      <c r="Z47" s="43">
        <v>1118178</v>
      </c>
      <c r="AA47" s="43">
        <v>47338</v>
      </c>
      <c r="AB47" s="43">
        <v>0</v>
      </c>
      <c r="AC47" s="39">
        <v>1351807</v>
      </c>
      <c r="AD47" s="41">
        <v>343660</v>
      </c>
      <c r="AE47" s="43">
        <v>501714</v>
      </c>
      <c r="AF47" s="43">
        <v>348689</v>
      </c>
      <c r="AG47" s="43">
        <v>0</v>
      </c>
      <c r="AH47" s="39">
        <v>1194063</v>
      </c>
      <c r="AI47" s="41">
        <v>346114</v>
      </c>
      <c r="AJ47" s="43">
        <v>1396184</v>
      </c>
      <c r="AK47" s="43">
        <v>225620</v>
      </c>
      <c r="AL47" s="43">
        <v>0</v>
      </c>
      <c r="AM47" s="39">
        <v>1967918</v>
      </c>
      <c r="AN47" s="41">
        <v>196418</v>
      </c>
      <c r="AO47" s="43">
        <v>530313</v>
      </c>
      <c r="AP47" s="43">
        <v>213219</v>
      </c>
      <c r="AQ47" s="43">
        <v>0</v>
      </c>
      <c r="AR47" s="39">
        <v>939950</v>
      </c>
      <c r="AS47" s="41">
        <v>346050</v>
      </c>
      <c r="AT47" s="43">
        <v>790036</v>
      </c>
      <c r="AU47" s="43">
        <v>67587</v>
      </c>
      <c r="AV47" s="43">
        <v>0</v>
      </c>
      <c r="AW47" s="39">
        <v>1203673</v>
      </c>
      <c r="AX47" s="41">
        <v>502868</v>
      </c>
      <c r="AY47" s="43">
        <v>647630</v>
      </c>
      <c r="AZ47" s="43">
        <v>229390</v>
      </c>
      <c r="BA47" s="43">
        <v>0</v>
      </c>
      <c r="BB47" s="39">
        <v>1379888</v>
      </c>
      <c r="BC47" s="41">
        <v>178445</v>
      </c>
      <c r="BD47" s="43">
        <v>182414</v>
      </c>
      <c r="BE47" s="43">
        <v>143338</v>
      </c>
      <c r="BF47" s="43">
        <v>0</v>
      </c>
      <c r="BG47" s="39">
        <v>504197</v>
      </c>
      <c r="BH47" s="41">
        <v>0</v>
      </c>
      <c r="BI47" s="43">
        <v>0</v>
      </c>
      <c r="BJ47" s="43">
        <v>0</v>
      </c>
      <c r="BK47" s="43">
        <v>0</v>
      </c>
      <c r="BL47" s="39">
        <v>0</v>
      </c>
      <c r="BM47" s="41">
        <v>0</v>
      </c>
      <c r="BN47" s="43">
        <v>0</v>
      </c>
      <c r="BO47" s="43">
        <v>0</v>
      </c>
      <c r="BP47" s="43">
        <v>0</v>
      </c>
      <c r="BQ47" s="39">
        <v>0</v>
      </c>
      <c r="BR47" s="41">
        <v>2721022</v>
      </c>
      <c r="BS47" s="65">
        <v>6178965</v>
      </c>
      <c r="BT47" s="43">
        <v>1410133</v>
      </c>
      <c r="BU47" s="43">
        <v>0</v>
      </c>
      <c r="BV47" s="41">
        <v>10310120</v>
      </c>
      <c r="BW47" s="9"/>
      <c r="BX47" s="206"/>
      <c r="CA47" s="264"/>
      <c r="CB47" s="1"/>
    </row>
    <row r="48" spans="1:80" x14ac:dyDescent="0.2">
      <c r="A48" s="199" t="s">
        <v>226</v>
      </c>
      <c r="B48" s="203"/>
      <c r="D48" s="221"/>
      <c r="E48" s="36">
        <v>254488165</v>
      </c>
      <c r="F48" s="35">
        <v>668378413</v>
      </c>
      <c r="G48" s="35">
        <v>14835462</v>
      </c>
      <c r="H48" s="35">
        <v>87647697</v>
      </c>
      <c r="I48" s="17">
        <v>1025349737</v>
      </c>
      <c r="J48" s="36">
        <v>17622572</v>
      </c>
      <c r="K48" s="35">
        <v>45213323</v>
      </c>
      <c r="L48" s="35">
        <v>324568</v>
      </c>
      <c r="M48" s="35">
        <v>4835</v>
      </c>
      <c r="N48" s="17">
        <v>63165298</v>
      </c>
      <c r="O48" s="35">
        <v>19267389</v>
      </c>
      <c r="P48" s="35">
        <v>50862165</v>
      </c>
      <c r="Q48" s="35">
        <v>861947</v>
      </c>
      <c r="R48" s="35">
        <v>1003876</v>
      </c>
      <c r="S48" s="17">
        <v>71995377</v>
      </c>
      <c r="T48" s="36">
        <v>18476452</v>
      </c>
      <c r="U48" s="35">
        <v>42244408</v>
      </c>
      <c r="V48" s="35">
        <v>15761</v>
      </c>
      <c r="W48" s="35">
        <v>475861</v>
      </c>
      <c r="X48" s="17">
        <v>61212482</v>
      </c>
      <c r="Y48" s="36">
        <v>18789001</v>
      </c>
      <c r="Z48" s="35">
        <v>95242085</v>
      </c>
      <c r="AA48" s="35">
        <v>518145</v>
      </c>
      <c r="AB48" s="35">
        <v>3806670</v>
      </c>
      <c r="AC48" s="17">
        <v>118355901</v>
      </c>
      <c r="AD48" s="36">
        <v>19456847</v>
      </c>
      <c r="AE48" s="35">
        <v>57620690</v>
      </c>
      <c r="AF48" s="35">
        <v>905002</v>
      </c>
      <c r="AG48" s="35">
        <v>5002462</v>
      </c>
      <c r="AH48" s="17">
        <v>82985001</v>
      </c>
      <c r="AI48" s="36">
        <v>19716963</v>
      </c>
      <c r="AJ48" s="35">
        <v>52080089</v>
      </c>
      <c r="AK48" s="35">
        <v>867648</v>
      </c>
      <c r="AL48" s="35">
        <v>3018261</v>
      </c>
      <c r="AM48" s="17">
        <v>75682961</v>
      </c>
      <c r="AN48" s="36">
        <v>20480283</v>
      </c>
      <c r="AO48" s="35">
        <v>60271078</v>
      </c>
      <c r="AP48" s="35">
        <v>1268269</v>
      </c>
      <c r="AQ48" s="35">
        <v>2002731</v>
      </c>
      <c r="AR48" s="17">
        <v>84022361</v>
      </c>
      <c r="AS48" s="36">
        <v>20140301</v>
      </c>
      <c r="AT48" s="35">
        <v>46929931</v>
      </c>
      <c r="AU48" s="35">
        <v>886111</v>
      </c>
      <c r="AV48" s="35">
        <v>3781537</v>
      </c>
      <c r="AW48" s="17">
        <v>71737880</v>
      </c>
      <c r="AX48" s="35">
        <v>19986153</v>
      </c>
      <c r="AY48" s="35">
        <v>65592854</v>
      </c>
      <c r="AZ48" s="35">
        <v>775078</v>
      </c>
      <c r="BA48" s="35">
        <v>16688036</v>
      </c>
      <c r="BB48" s="17">
        <v>103042121</v>
      </c>
      <c r="BC48" s="35">
        <v>18393853</v>
      </c>
      <c r="BD48" s="35">
        <v>39828146</v>
      </c>
      <c r="BE48" s="35">
        <v>568295</v>
      </c>
      <c r="BF48" s="35">
        <v>30302676</v>
      </c>
      <c r="BG48" s="17">
        <v>89092970</v>
      </c>
      <c r="BH48" s="36">
        <v>0</v>
      </c>
      <c r="BI48" s="35">
        <v>0</v>
      </c>
      <c r="BJ48" s="35">
        <v>0</v>
      </c>
      <c r="BK48" s="35">
        <v>0</v>
      </c>
      <c r="BL48" s="17">
        <v>0</v>
      </c>
      <c r="BM48" s="36">
        <v>0</v>
      </c>
      <c r="BN48" s="35">
        <v>0</v>
      </c>
      <c r="BO48" s="35">
        <v>0</v>
      </c>
      <c r="BP48" s="35">
        <v>0</v>
      </c>
      <c r="BQ48" s="17">
        <v>0</v>
      </c>
      <c r="BR48" s="36">
        <v>192329814</v>
      </c>
      <c r="BS48" s="35">
        <v>555884769</v>
      </c>
      <c r="BT48" s="35">
        <v>6990824</v>
      </c>
      <c r="BU48" s="35">
        <v>66086945</v>
      </c>
      <c r="BV48" s="17">
        <v>821292352</v>
      </c>
      <c r="BW48" s="9"/>
      <c r="BX48" s="208"/>
      <c r="BZ48" s="222"/>
    </row>
    <row r="49" spans="1:80" x14ac:dyDescent="0.2">
      <c r="A49" s="223" t="s">
        <v>227</v>
      </c>
      <c r="B49" s="203"/>
      <c r="D49" s="221"/>
      <c r="E49" s="52"/>
      <c r="F49" s="19"/>
      <c r="G49" s="19"/>
      <c r="H49" s="19"/>
      <c r="I49" s="53"/>
      <c r="J49" s="52"/>
      <c r="K49" s="19"/>
      <c r="L49" s="19"/>
      <c r="M49" s="19"/>
      <c r="N49" s="53"/>
      <c r="O49" s="19"/>
      <c r="P49" s="19"/>
      <c r="Q49" s="19"/>
      <c r="R49" s="19"/>
      <c r="S49" s="53"/>
      <c r="T49" s="52"/>
      <c r="U49" s="19"/>
      <c r="V49" s="19"/>
      <c r="W49" s="19"/>
      <c r="X49" s="53"/>
      <c r="Y49" s="52"/>
      <c r="Z49" s="19"/>
      <c r="AA49" s="19"/>
      <c r="AB49" s="19"/>
      <c r="AC49" s="53"/>
      <c r="AD49" s="52"/>
      <c r="AE49" s="19"/>
      <c r="AF49" s="19"/>
      <c r="AG49" s="19"/>
      <c r="AH49" s="53"/>
      <c r="AI49" s="52"/>
      <c r="AJ49" s="19"/>
      <c r="AK49" s="19"/>
      <c r="AL49" s="19"/>
      <c r="AM49" s="53"/>
      <c r="AN49" s="52"/>
      <c r="AO49" s="19"/>
      <c r="AP49" s="19"/>
      <c r="AQ49" s="19"/>
      <c r="AR49" s="53"/>
      <c r="AS49" s="52"/>
      <c r="AT49" s="19"/>
      <c r="AU49" s="19"/>
      <c r="AV49" s="19"/>
      <c r="AW49" s="53"/>
      <c r="AX49" s="19"/>
      <c r="AY49" s="19"/>
      <c r="AZ49" s="19"/>
      <c r="BA49" s="19"/>
      <c r="BB49" s="53"/>
      <c r="BC49" s="19"/>
      <c r="BD49" s="19"/>
      <c r="BE49" s="19"/>
      <c r="BF49" s="19"/>
      <c r="BG49" s="53"/>
      <c r="BH49" s="52"/>
      <c r="BI49" s="19"/>
      <c r="BJ49" s="19"/>
      <c r="BK49" s="19"/>
      <c r="BL49" s="53"/>
      <c r="BM49" s="52"/>
      <c r="BN49" s="19"/>
      <c r="BO49" s="19"/>
      <c r="BP49" s="19"/>
      <c r="BQ49" s="53"/>
      <c r="BR49" s="52"/>
      <c r="BS49" s="19"/>
      <c r="BT49" s="19"/>
      <c r="BU49" s="19"/>
      <c r="BV49" s="53"/>
      <c r="BW49" s="9"/>
      <c r="BX49" s="208"/>
      <c r="BY49" s="224"/>
      <c r="BZ49" s="222"/>
    </row>
    <row r="50" spans="1:80" x14ac:dyDescent="0.2">
      <c r="A50" s="199" t="s">
        <v>228</v>
      </c>
      <c r="D50" s="225"/>
      <c r="E50" s="49"/>
      <c r="F50" s="48"/>
      <c r="G50" s="48"/>
      <c r="H50" s="48"/>
      <c r="I50" s="53"/>
      <c r="J50" s="49"/>
      <c r="K50" s="48"/>
      <c r="L50" s="48"/>
      <c r="M50" s="48"/>
      <c r="N50" s="53"/>
      <c r="O50" s="48"/>
      <c r="P50" s="48"/>
      <c r="Q50" s="48"/>
      <c r="R50" s="48"/>
      <c r="S50" s="52"/>
      <c r="T50" s="49"/>
      <c r="U50" s="48"/>
      <c r="V50" s="48"/>
      <c r="W50" s="48"/>
      <c r="X50" s="52"/>
      <c r="Y50" s="49"/>
      <c r="Z50" s="48"/>
      <c r="AA50" s="48"/>
      <c r="AB50" s="48"/>
      <c r="AC50" s="52"/>
      <c r="AD50" s="49"/>
      <c r="AE50" s="48"/>
      <c r="AF50" s="48"/>
      <c r="AG50" s="48"/>
      <c r="AH50" s="52"/>
      <c r="AI50" s="49"/>
      <c r="AJ50" s="48"/>
      <c r="AK50" s="48"/>
      <c r="AL50" s="48"/>
      <c r="AM50" s="52"/>
      <c r="AN50" s="49"/>
      <c r="AO50" s="48"/>
      <c r="AP50" s="48"/>
      <c r="AQ50" s="48"/>
      <c r="AR50" s="53"/>
      <c r="AS50" s="48"/>
      <c r="AT50" s="48"/>
      <c r="AU50" s="48"/>
      <c r="AV50" s="48"/>
      <c r="AW50" s="53"/>
      <c r="AX50" s="48"/>
      <c r="AY50" s="48"/>
      <c r="AZ50" s="48"/>
      <c r="BA50" s="48"/>
      <c r="BB50" s="53"/>
      <c r="BC50" s="48"/>
      <c r="BD50" s="48"/>
      <c r="BE50" s="48"/>
      <c r="BF50" s="48"/>
      <c r="BG50" s="53"/>
      <c r="BH50" s="49"/>
      <c r="BI50" s="48"/>
      <c r="BJ50" s="48"/>
      <c r="BK50" s="48"/>
      <c r="BL50" s="53"/>
      <c r="BM50" s="49"/>
      <c r="BN50" s="48"/>
      <c r="BO50" s="48"/>
      <c r="BP50" s="48"/>
      <c r="BQ50" s="53"/>
      <c r="BR50" s="49"/>
      <c r="BS50" s="48"/>
      <c r="BT50" s="48"/>
      <c r="BU50" s="48"/>
      <c r="BV50" s="52"/>
      <c r="BW50" s="226"/>
      <c r="BX50" s="208"/>
      <c r="BY50" s="224"/>
      <c r="BZ50" s="222"/>
    </row>
    <row r="51" spans="1:80" x14ac:dyDescent="0.2">
      <c r="A51" s="202" t="s">
        <v>229</v>
      </c>
      <c r="B51" s="227"/>
      <c r="C51" s="227"/>
      <c r="D51" s="225"/>
      <c r="E51" s="65">
        <v>7715</v>
      </c>
      <c r="F51" s="65">
        <v>0</v>
      </c>
      <c r="G51" s="65">
        <v>0</v>
      </c>
      <c r="H51" s="65">
        <v>0</v>
      </c>
      <c r="I51" s="39">
        <v>7715</v>
      </c>
      <c r="J51" s="66">
        <v>475</v>
      </c>
      <c r="K51" s="65">
        <v>0</v>
      </c>
      <c r="L51" s="65">
        <v>0</v>
      </c>
      <c r="M51" s="65">
        <v>0</v>
      </c>
      <c r="N51" s="39">
        <v>475</v>
      </c>
      <c r="O51" s="65">
        <v>475</v>
      </c>
      <c r="P51" s="65">
        <v>0</v>
      </c>
      <c r="Q51" s="65">
        <v>0</v>
      </c>
      <c r="R51" s="65">
        <v>0</v>
      </c>
      <c r="S51" s="39">
        <v>475</v>
      </c>
      <c r="T51" s="65">
        <v>475</v>
      </c>
      <c r="U51" s="65">
        <v>0</v>
      </c>
      <c r="V51" s="65">
        <v>0</v>
      </c>
      <c r="W51" s="65">
        <v>0</v>
      </c>
      <c r="X51" s="39">
        <v>475</v>
      </c>
      <c r="Y51" s="65">
        <v>475</v>
      </c>
      <c r="Z51" s="65">
        <v>0</v>
      </c>
      <c r="AA51" s="65">
        <v>0</v>
      </c>
      <c r="AB51" s="65">
        <v>0</v>
      </c>
      <c r="AC51" s="39">
        <v>475</v>
      </c>
      <c r="AD51" s="65">
        <v>475</v>
      </c>
      <c r="AE51" s="65">
        <v>0</v>
      </c>
      <c r="AF51" s="65">
        <v>0</v>
      </c>
      <c r="AG51" s="65">
        <v>0</v>
      </c>
      <c r="AH51" s="39">
        <v>475</v>
      </c>
      <c r="AI51" s="65">
        <v>475</v>
      </c>
      <c r="AJ51" s="65">
        <v>0</v>
      </c>
      <c r="AK51" s="65">
        <v>0</v>
      </c>
      <c r="AL51" s="65">
        <v>0</v>
      </c>
      <c r="AM51" s="39">
        <v>475</v>
      </c>
      <c r="AN51" s="65">
        <v>475</v>
      </c>
      <c r="AO51" s="65">
        <v>0</v>
      </c>
      <c r="AP51" s="65">
        <v>0</v>
      </c>
      <c r="AQ51" s="65">
        <v>0</v>
      </c>
      <c r="AR51" s="39">
        <v>475</v>
      </c>
      <c r="AS51" s="65">
        <v>475</v>
      </c>
      <c r="AT51" s="65">
        <v>0</v>
      </c>
      <c r="AU51" s="65">
        <v>0</v>
      </c>
      <c r="AV51" s="65">
        <v>0</v>
      </c>
      <c r="AW51" s="39">
        <v>475</v>
      </c>
      <c r="AX51" s="65">
        <v>475</v>
      </c>
      <c r="AY51" s="65">
        <v>0</v>
      </c>
      <c r="AZ51" s="65">
        <v>0</v>
      </c>
      <c r="BA51" s="65">
        <v>0</v>
      </c>
      <c r="BB51" s="39">
        <v>475</v>
      </c>
      <c r="BC51" s="65">
        <v>475</v>
      </c>
      <c r="BD51" s="65">
        <v>0</v>
      </c>
      <c r="BE51" s="65">
        <v>0</v>
      </c>
      <c r="BF51" s="65">
        <v>0</v>
      </c>
      <c r="BG51" s="39">
        <v>475</v>
      </c>
      <c r="BH51" s="65">
        <v>0</v>
      </c>
      <c r="BI51" s="65">
        <v>0</v>
      </c>
      <c r="BJ51" s="65">
        <v>0</v>
      </c>
      <c r="BK51" s="65">
        <v>0</v>
      </c>
      <c r="BL51" s="39">
        <v>0</v>
      </c>
      <c r="BM51" s="65">
        <v>0</v>
      </c>
      <c r="BN51" s="65">
        <v>0</v>
      </c>
      <c r="BO51" s="65">
        <v>0</v>
      </c>
      <c r="BP51" s="65">
        <v>0</v>
      </c>
      <c r="BQ51" s="39">
        <v>0</v>
      </c>
      <c r="BR51" s="65">
        <v>4750</v>
      </c>
      <c r="BS51" s="65">
        <v>0</v>
      </c>
      <c r="BT51" s="65">
        <v>0</v>
      </c>
      <c r="BU51" s="65">
        <v>0</v>
      </c>
      <c r="BV51" s="39">
        <v>4750</v>
      </c>
      <c r="BW51" s="9"/>
      <c r="BX51" s="208"/>
      <c r="BZ51" s="228"/>
      <c r="CA51" s="265"/>
      <c r="CB51" s="230"/>
    </row>
    <row r="52" spans="1:80" x14ac:dyDescent="0.2">
      <c r="A52" s="202" t="s">
        <v>230</v>
      </c>
      <c r="B52" s="227"/>
      <c r="D52" s="221" t="s">
        <v>57</v>
      </c>
      <c r="E52" s="65">
        <v>476474</v>
      </c>
      <c r="F52" s="65">
        <v>0</v>
      </c>
      <c r="G52" s="65">
        <v>0</v>
      </c>
      <c r="H52" s="65">
        <v>0</v>
      </c>
      <c r="I52" s="39">
        <v>476474</v>
      </c>
      <c r="J52" s="66">
        <v>42263</v>
      </c>
      <c r="K52" s="65">
        <v>0</v>
      </c>
      <c r="L52" s="65">
        <v>0</v>
      </c>
      <c r="M52" s="65">
        <v>0</v>
      </c>
      <c r="N52" s="39">
        <v>42263</v>
      </c>
      <c r="O52" s="65">
        <v>42263</v>
      </c>
      <c r="P52" s="65">
        <v>0</v>
      </c>
      <c r="Q52" s="65">
        <v>0</v>
      </c>
      <c r="R52" s="65">
        <v>0</v>
      </c>
      <c r="S52" s="39">
        <v>42263</v>
      </c>
      <c r="T52" s="65">
        <v>42263</v>
      </c>
      <c r="U52" s="65">
        <v>0</v>
      </c>
      <c r="V52" s="65">
        <v>0</v>
      </c>
      <c r="W52" s="65">
        <v>0</v>
      </c>
      <c r="X52" s="39">
        <v>42263</v>
      </c>
      <c r="Y52" s="65">
        <v>42263</v>
      </c>
      <c r="Z52" s="65">
        <v>0</v>
      </c>
      <c r="AA52" s="65">
        <v>0</v>
      </c>
      <c r="AB52" s="65">
        <v>0</v>
      </c>
      <c r="AC52" s="39">
        <v>42263</v>
      </c>
      <c r="AD52" s="65">
        <v>42263</v>
      </c>
      <c r="AE52" s="65">
        <v>0</v>
      </c>
      <c r="AF52" s="65">
        <v>0</v>
      </c>
      <c r="AG52" s="65">
        <v>0</v>
      </c>
      <c r="AH52" s="39">
        <v>42263</v>
      </c>
      <c r="AI52" s="65">
        <v>42263</v>
      </c>
      <c r="AJ52" s="65">
        <v>0</v>
      </c>
      <c r="AK52" s="65">
        <v>0</v>
      </c>
      <c r="AL52" s="65">
        <v>0</v>
      </c>
      <c r="AM52" s="39">
        <v>42263</v>
      </c>
      <c r="AN52" s="65">
        <v>42263</v>
      </c>
      <c r="AO52" s="65">
        <v>0</v>
      </c>
      <c r="AP52" s="65">
        <v>0</v>
      </c>
      <c r="AQ52" s="65">
        <v>0</v>
      </c>
      <c r="AR52" s="39">
        <v>42263</v>
      </c>
      <c r="AS52" s="65">
        <v>42263</v>
      </c>
      <c r="AT52" s="65">
        <v>0</v>
      </c>
      <c r="AU52" s="65">
        <v>0</v>
      </c>
      <c r="AV52" s="65">
        <v>0</v>
      </c>
      <c r="AW52" s="39">
        <v>42263</v>
      </c>
      <c r="AX52" s="65">
        <v>42263</v>
      </c>
      <c r="AY52" s="65">
        <v>0</v>
      </c>
      <c r="AZ52" s="65">
        <v>0</v>
      </c>
      <c r="BA52" s="65">
        <v>0</v>
      </c>
      <c r="BB52" s="39">
        <v>42263</v>
      </c>
      <c r="BC52" s="65">
        <v>32263</v>
      </c>
      <c r="BD52" s="65">
        <v>0</v>
      </c>
      <c r="BE52" s="65">
        <v>0</v>
      </c>
      <c r="BF52" s="65">
        <v>0</v>
      </c>
      <c r="BG52" s="39">
        <v>32263</v>
      </c>
      <c r="BH52" s="65">
        <v>0</v>
      </c>
      <c r="BI52" s="65">
        <v>0</v>
      </c>
      <c r="BJ52" s="65">
        <v>0</v>
      </c>
      <c r="BK52" s="65">
        <v>0</v>
      </c>
      <c r="BL52" s="39">
        <v>0</v>
      </c>
      <c r="BM52" s="65">
        <v>0</v>
      </c>
      <c r="BN52" s="65">
        <v>0</v>
      </c>
      <c r="BO52" s="65">
        <v>0</v>
      </c>
      <c r="BP52" s="65">
        <v>0</v>
      </c>
      <c r="BQ52" s="39">
        <v>0</v>
      </c>
      <c r="BR52" s="65">
        <v>412630</v>
      </c>
      <c r="BS52" s="65">
        <v>0</v>
      </c>
      <c r="BT52" s="65">
        <v>0</v>
      </c>
      <c r="BU52" s="65">
        <v>0</v>
      </c>
      <c r="BV52" s="39">
        <v>412630</v>
      </c>
      <c r="BW52" s="9"/>
      <c r="BX52" s="208"/>
      <c r="BZ52" s="228"/>
      <c r="CA52" s="265"/>
      <c r="CB52" s="230"/>
    </row>
    <row r="53" spans="1:80" x14ac:dyDescent="0.2">
      <c r="A53" s="202" t="s">
        <v>231</v>
      </c>
      <c r="B53" s="227"/>
      <c r="D53" s="231"/>
      <c r="E53" s="65">
        <v>233027798</v>
      </c>
      <c r="F53" s="65">
        <v>0</v>
      </c>
      <c r="G53" s="65">
        <v>0</v>
      </c>
      <c r="H53" s="65">
        <v>0</v>
      </c>
      <c r="I53" s="39">
        <v>233027798</v>
      </c>
      <c r="J53" s="66">
        <v>4156462.4270000001</v>
      </c>
      <c r="K53" s="65">
        <v>0</v>
      </c>
      <c r="L53" s="65">
        <v>0</v>
      </c>
      <c r="M53" s="65">
        <v>0</v>
      </c>
      <c r="N53" s="39">
        <v>4156462.4270000001</v>
      </c>
      <c r="O53" s="65">
        <v>1746959.1300000001</v>
      </c>
      <c r="P53" s="65">
        <v>0</v>
      </c>
      <c r="Q53" s="65">
        <v>0</v>
      </c>
      <c r="R53" s="65">
        <v>0</v>
      </c>
      <c r="S53" s="39">
        <v>1746959.1300000001</v>
      </c>
      <c r="T53" s="65">
        <v>23287136</v>
      </c>
      <c r="U53" s="65">
        <v>0</v>
      </c>
      <c r="V53" s="65">
        <v>0</v>
      </c>
      <c r="W53" s="65">
        <v>0</v>
      </c>
      <c r="X53" s="39">
        <v>23287136</v>
      </c>
      <c r="Y53" s="65">
        <v>33793248</v>
      </c>
      <c r="Z53" s="65">
        <v>0</v>
      </c>
      <c r="AA53" s="65">
        <v>0</v>
      </c>
      <c r="AB53" s="65">
        <v>0</v>
      </c>
      <c r="AC53" s="39">
        <v>33793248</v>
      </c>
      <c r="AD53" s="65">
        <v>32588390.123</v>
      </c>
      <c r="AE53" s="65">
        <v>0</v>
      </c>
      <c r="AF53" s="65">
        <v>0</v>
      </c>
      <c r="AG53" s="65">
        <v>0</v>
      </c>
      <c r="AH53" s="39">
        <v>32588390.123</v>
      </c>
      <c r="AI53" s="65">
        <v>20719704.243000001</v>
      </c>
      <c r="AJ53" s="65">
        <v>0</v>
      </c>
      <c r="AK53" s="65">
        <v>0</v>
      </c>
      <c r="AL53" s="65">
        <v>0</v>
      </c>
      <c r="AM53" s="39">
        <v>20719704.243000001</v>
      </c>
      <c r="AN53" s="65">
        <v>3593963.963</v>
      </c>
      <c r="AO53" s="65">
        <v>0</v>
      </c>
      <c r="AP53" s="65">
        <v>0</v>
      </c>
      <c r="AQ53" s="65">
        <v>0</v>
      </c>
      <c r="AR53" s="63">
        <v>3593963.963</v>
      </c>
      <c r="AS53" s="65">
        <v>2242145.0050000004</v>
      </c>
      <c r="AT53" s="65">
        <v>0</v>
      </c>
      <c r="AU53" s="65">
        <v>0</v>
      </c>
      <c r="AV53" s="65">
        <v>0</v>
      </c>
      <c r="AW53" s="63">
        <v>2242145.0050000004</v>
      </c>
      <c r="AX53" s="65">
        <v>23505078</v>
      </c>
      <c r="AY53" s="65">
        <v>0</v>
      </c>
      <c r="AZ53" s="65">
        <v>0</v>
      </c>
      <c r="BA53" s="65">
        <v>0</v>
      </c>
      <c r="BB53" s="63">
        <v>23505078</v>
      </c>
      <c r="BC53" s="65">
        <v>33703384.236999996</v>
      </c>
      <c r="BD53" s="65">
        <v>0</v>
      </c>
      <c r="BE53" s="65">
        <v>0</v>
      </c>
      <c r="BF53" s="65">
        <v>0</v>
      </c>
      <c r="BG53" s="63">
        <v>33703384.236999996</v>
      </c>
      <c r="BH53" s="65">
        <v>0</v>
      </c>
      <c r="BI53" s="65">
        <v>0</v>
      </c>
      <c r="BJ53" s="65">
        <v>0</v>
      </c>
      <c r="BK53" s="65">
        <v>0</v>
      </c>
      <c r="BL53" s="63">
        <v>0</v>
      </c>
      <c r="BM53" s="65">
        <v>0</v>
      </c>
      <c r="BN53" s="65">
        <v>0</v>
      </c>
      <c r="BO53" s="65">
        <v>0</v>
      </c>
      <c r="BP53" s="65">
        <v>0</v>
      </c>
      <c r="BQ53" s="63">
        <v>0</v>
      </c>
      <c r="BR53" s="65">
        <v>179336471.12799999</v>
      </c>
      <c r="BS53" s="65">
        <v>0</v>
      </c>
      <c r="BT53" s="65">
        <v>0</v>
      </c>
      <c r="BU53" s="65">
        <v>0</v>
      </c>
      <c r="BV53" s="39">
        <v>179336471.12799999</v>
      </c>
      <c r="BW53" s="9"/>
      <c r="BX53" s="208"/>
      <c r="BZ53" s="228"/>
      <c r="CA53" s="265"/>
      <c r="CB53" s="230"/>
    </row>
    <row r="54" spans="1:80" s="233" customFormat="1" x14ac:dyDescent="0.2">
      <c r="A54" s="232" t="s">
        <v>102</v>
      </c>
      <c r="D54" s="231"/>
      <c r="E54" s="234">
        <v>232449798</v>
      </c>
      <c r="F54" s="234">
        <v>0</v>
      </c>
      <c r="G54" s="234">
        <v>0</v>
      </c>
      <c r="H54" s="234">
        <v>0</v>
      </c>
      <c r="I54" s="69">
        <v>232449798</v>
      </c>
      <c r="J54" s="235">
        <v>4134676.6850000001</v>
      </c>
      <c r="K54" s="234">
        <v>0</v>
      </c>
      <c r="L54" s="234">
        <v>0</v>
      </c>
      <c r="M54" s="234">
        <v>0</v>
      </c>
      <c r="N54" s="69">
        <v>4134676.6850000001</v>
      </c>
      <c r="O54" s="234">
        <v>1746663.6</v>
      </c>
      <c r="P54" s="234">
        <v>0</v>
      </c>
      <c r="Q54" s="234">
        <v>0</v>
      </c>
      <c r="R54" s="234">
        <v>0</v>
      </c>
      <c r="S54" s="69">
        <v>1746663.6</v>
      </c>
      <c r="T54" s="234">
        <v>23286764</v>
      </c>
      <c r="U54" s="234">
        <v>0</v>
      </c>
      <c r="V54" s="234">
        <v>0</v>
      </c>
      <c r="W54" s="234">
        <v>0</v>
      </c>
      <c r="X54" s="69">
        <v>23286764</v>
      </c>
      <c r="Y54" s="186">
        <v>33793154.909999996</v>
      </c>
      <c r="Z54" s="234">
        <v>0</v>
      </c>
      <c r="AA54" s="234">
        <v>0</v>
      </c>
      <c r="AB54" s="234">
        <v>0</v>
      </c>
      <c r="AC54" s="69">
        <v>33793154.909999996</v>
      </c>
      <c r="AD54" s="234">
        <v>32588003.640999999</v>
      </c>
      <c r="AE54" s="234">
        <v>0</v>
      </c>
      <c r="AF54" s="234">
        <v>0</v>
      </c>
      <c r="AG54" s="234">
        <v>0</v>
      </c>
      <c r="AH54" s="69">
        <v>32588003.640999999</v>
      </c>
      <c r="AI54" s="234">
        <v>20719641.107999999</v>
      </c>
      <c r="AJ54" s="234">
        <v>0</v>
      </c>
      <c r="AK54" s="234">
        <v>0</v>
      </c>
      <c r="AL54" s="234">
        <v>0</v>
      </c>
      <c r="AM54" s="69">
        <v>20719641.107999999</v>
      </c>
      <c r="AN54" s="234">
        <v>3229087.1039999998</v>
      </c>
      <c r="AO54" s="234">
        <v>0</v>
      </c>
      <c r="AP54" s="234">
        <v>0</v>
      </c>
      <c r="AQ54" s="234">
        <v>0</v>
      </c>
      <c r="AR54" s="69">
        <v>3229087.1039999998</v>
      </c>
      <c r="AS54" s="234">
        <v>2242055.5410000002</v>
      </c>
      <c r="AT54" s="234">
        <v>0</v>
      </c>
      <c r="AU54" s="234">
        <v>0</v>
      </c>
      <c r="AV54" s="234">
        <v>0</v>
      </c>
      <c r="AW54" s="69">
        <v>2242055.5410000002</v>
      </c>
      <c r="AX54" s="234">
        <v>23504930</v>
      </c>
      <c r="AY54" s="234">
        <v>0</v>
      </c>
      <c r="AZ54" s="234">
        <v>0</v>
      </c>
      <c r="BA54" s="234">
        <v>0</v>
      </c>
      <c r="BB54" s="69">
        <v>23504930</v>
      </c>
      <c r="BC54" s="234">
        <v>33703219.071999997</v>
      </c>
      <c r="BD54" s="234">
        <v>0</v>
      </c>
      <c r="BE54" s="234">
        <v>0</v>
      </c>
      <c r="BF54" s="234">
        <v>0</v>
      </c>
      <c r="BG54" s="69">
        <v>33703219.071999997</v>
      </c>
      <c r="BH54" s="234">
        <v>0</v>
      </c>
      <c r="BI54" s="234">
        <v>0</v>
      </c>
      <c r="BJ54" s="234">
        <v>0</v>
      </c>
      <c r="BK54" s="234">
        <v>0</v>
      </c>
      <c r="BL54" s="69">
        <v>0</v>
      </c>
      <c r="BM54" s="234">
        <v>0</v>
      </c>
      <c r="BN54" s="234">
        <v>0</v>
      </c>
      <c r="BO54" s="234">
        <v>0</v>
      </c>
      <c r="BP54" s="234">
        <v>0</v>
      </c>
      <c r="BQ54" s="69">
        <v>0</v>
      </c>
      <c r="BR54" s="234">
        <v>178948195.66099998</v>
      </c>
      <c r="BS54" s="234">
        <v>0</v>
      </c>
      <c r="BT54" s="234">
        <v>0</v>
      </c>
      <c r="BU54" s="234">
        <v>0</v>
      </c>
      <c r="BV54" s="69">
        <v>178948195.66099998</v>
      </c>
      <c r="BW54" s="44"/>
      <c r="BX54" s="208"/>
      <c r="BY54" s="179"/>
      <c r="BZ54" s="228"/>
      <c r="CA54" s="266"/>
      <c r="CB54" s="230"/>
    </row>
    <row r="55" spans="1:80" s="233" customFormat="1" x14ac:dyDescent="0.2">
      <c r="A55" s="232" t="s">
        <v>232</v>
      </c>
      <c r="D55" s="231"/>
      <c r="E55" s="234">
        <v>578000</v>
      </c>
      <c r="F55" s="234">
        <v>0</v>
      </c>
      <c r="G55" s="234">
        <v>0</v>
      </c>
      <c r="H55" s="234">
        <v>0</v>
      </c>
      <c r="I55" s="69">
        <v>578000</v>
      </c>
      <c r="J55" s="235">
        <v>21785.741999999998</v>
      </c>
      <c r="K55" s="234">
        <v>0</v>
      </c>
      <c r="L55" s="234">
        <v>0</v>
      </c>
      <c r="M55" s="234">
        <v>0</v>
      </c>
      <c r="N55" s="69">
        <v>21785.741999999998</v>
      </c>
      <c r="O55" s="234">
        <v>295.52999999999997</v>
      </c>
      <c r="P55" s="234">
        <v>0</v>
      </c>
      <c r="Q55" s="234">
        <v>0</v>
      </c>
      <c r="R55" s="234">
        <v>0</v>
      </c>
      <c r="S55" s="69">
        <v>295.52999999999997</v>
      </c>
      <c r="T55" s="234">
        <v>372</v>
      </c>
      <c r="U55" s="234">
        <v>0</v>
      </c>
      <c r="V55" s="234">
        <v>0</v>
      </c>
      <c r="W55" s="234">
        <v>0</v>
      </c>
      <c r="X55" s="69">
        <v>372</v>
      </c>
      <c r="Y55" s="186">
        <v>93.09</v>
      </c>
      <c r="Z55" s="234">
        <v>0</v>
      </c>
      <c r="AA55" s="234">
        <v>0</v>
      </c>
      <c r="AB55" s="234">
        <v>0</v>
      </c>
      <c r="AC55" s="39">
        <v>93.09</v>
      </c>
      <c r="AD55" s="234">
        <v>386.48200000000003</v>
      </c>
      <c r="AE55" s="234">
        <v>0</v>
      </c>
      <c r="AF55" s="234">
        <v>0</v>
      </c>
      <c r="AG55" s="234">
        <v>0</v>
      </c>
      <c r="AH55" s="69">
        <v>386.48200000000003</v>
      </c>
      <c r="AI55" s="234">
        <v>63.134999999999998</v>
      </c>
      <c r="AJ55" s="234">
        <v>0</v>
      </c>
      <c r="AK55" s="234">
        <v>0</v>
      </c>
      <c r="AL55" s="234">
        <v>0</v>
      </c>
      <c r="AM55" s="69">
        <v>63.134999999999998</v>
      </c>
      <c r="AN55" s="234">
        <v>364876.859</v>
      </c>
      <c r="AO55" s="234">
        <v>0</v>
      </c>
      <c r="AP55" s="234">
        <v>0</v>
      </c>
      <c r="AQ55" s="234">
        <v>0</v>
      </c>
      <c r="AR55" s="69">
        <v>364876.859</v>
      </c>
      <c r="AS55" s="234">
        <v>89.463999999999999</v>
      </c>
      <c r="AT55" s="234">
        <v>0</v>
      </c>
      <c r="AU55" s="234">
        <v>0</v>
      </c>
      <c r="AV55" s="234">
        <v>0</v>
      </c>
      <c r="AW55" s="69">
        <v>89.463999999999999</v>
      </c>
      <c r="AX55" s="234">
        <v>148</v>
      </c>
      <c r="AY55" s="234">
        <v>0</v>
      </c>
      <c r="AZ55" s="234">
        <v>0</v>
      </c>
      <c r="BA55" s="234">
        <v>0</v>
      </c>
      <c r="BB55" s="69">
        <v>148</v>
      </c>
      <c r="BC55" s="234">
        <v>165.16499999999999</v>
      </c>
      <c r="BD55" s="234">
        <v>0</v>
      </c>
      <c r="BE55" s="234">
        <v>0</v>
      </c>
      <c r="BF55" s="234">
        <v>0</v>
      </c>
      <c r="BG55" s="69">
        <v>165.16499999999999</v>
      </c>
      <c r="BH55" s="234">
        <v>0</v>
      </c>
      <c r="BI55" s="234">
        <v>0</v>
      </c>
      <c r="BJ55" s="234">
        <v>0</v>
      </c>
      <c r="BK55" s="234">
        <v>0</v>
      </c>
      <c r="BL55" s="69">
        <v>0</v>
      </c>
      <c r="BM55" s="234">
        <v>0</v>
      </c>
      <c r="BN55" s="234">
        <v>0</v>
      </c>
      <c r="BO55" s="234">
        <v>0</v>
      </c>
      <c r="BP55" s="234">
        <v>0</v>
      </c>
      <c r="BQ55" s="69">
        <v>0</v>
      </c>
      <c r="BR55" s="234">
        <v>388275.46699999995</v>
      </c>
      <c r="BS55" s="234">
        <v>0</v>
      </c>
      <c r="BT55" s="234">
        <v>0</v>
      </c>
      <c r="BU55" s="234">
        <v>0</v>
      </c>
      <c r="BV55" s="69">
        <v>388275.46699999995</v>
      </c>
      <c r="BW55" s="44"/>
      <c r="BX55" s="208"/>
      <c r="BY55" s="179"/>
      <c r="BZ55" s="228"/>
      <c r="CA55" s="265"/>
      <c r="CB55" s="230"/>
    </row>
    <row r="56" spans="1:80" x14ac:dyDescent="0.2">
      <c r="A56" s="202" t="s">
        <v>233</v>
      </c>
      <c r="B56" s="227"/>
      <c r="D56" s="221"/>
      <c r="E56" s="65">
        <v>0</v>
      </c>
      <c r="F56" s="234">
        <v>520717021</v>
      </c>
      <c r="G56" s="65">
        <v>0</v>
      </c>
      <c r="H56" s="65">
        <v>0</v>
      </c>
      <c r="I56" s="39">
        <v>520717021</v>
      </c>
      <c r="J56" s="66">
        <v>0</v>
      </c>
      <c r="K56" s="65">
        <v>44872627</v>
      </c>
      <c r="L56" s="65">
        <v>0</v>
      </c>
      <c r="M56" s="65">
        <v>0</v>
      </c>
      <c r="N56" s="39">
        <v>44872627</v>
      </c>
      <c r="O56" s="65">
        <v>0</v>
      </c>
      <c r="P56" s="65">
        <v>44872627</v>
      </c>
      <c r="Q56" s="65">
        <v>0</v>
      </c>
      <c r="R56" s="65">
        <v>0</v>
      </c>
      <c r="S56" s="39">
        <v>44872627</v>
      </c>
      <c r="T56" s="65">
        <v>0</v>
      </c>
      <c r="U56" s="65">
        <v>44872627</v>
      </c>
      <c r="V56" s="65">
        <v>0</v>
      </c>
      <c r="W56" s="65">
        <v>0</v>
      </c>
      <c r="X56" s="39">
        <v>44872627</v>
      </c>
      <c r="Y56" s="65">
        <v>0</v>
      </c>
      <c r="Z56" s="65">
        <v>44872627</v>
      </c>
      <c r="AA56" s="65">
        <v>0</v>
      </c>
      <c r="AB56" s="65">
        <v>0</v>
      </c>
      <c r="AC56" s="39">
        <v>44872627</v>
      </c>
      <c r="AD56" s="65">
        <v>0</v>
      </c>
      <c r="AE56" s="65">
        <v>44872627</v>
      </c>
      <c r="AF56" s="65">
        <v>0</v>
      </c>
      <c r="AG56" s="65">
        <v>0</v>
      </c>
      <c r="AH56" s="39">
        <v>44872627</v>
      </c>
      <c r="AI56" s="65">
        <v>0</v>
      </c>
      <c r="AJ56" s="65">
        <v>44872627</v>
      </c>
      <c r="AK56" s="65">
        <v>0</v>
      </c>
      <c r="AL56" s="65">
        <v>0</v>
      </c>
      <c r="AM56" s="39">
        <v>44872627</v>
      </c>
      <c r="AN56" s="65">
        <v>0</v>
      </c>
      <c r="AO56" s="65">
        <v>44872627</v>
      </c>
      <c r="AP56" s="65">
        <v>0</v>
      </c>
      <c r="AQ56" s="65">
        <v>0</v>
      </c>
      <c r="AR56" s="39">
        <v>44872627</v>
      </c>
      <c r="AS56" s="65">
        <v>0</v>
      </c>
      <c r="AT56" s="65">
        <v>44872626</v>
      </c>
      <c r="AU56" s="65">
        <v>0</v>
      </c>
      <c r="AV56" s="65">
        <v>0</v>
      </c>
      <c r="AW56" s="39">
        <v>44872626</v>
      </c>
      <c r="AX56" s="65">
        <v>0</v>
      </c>
      <c r="AY56" s="65">
        <v>44872625</v>
      </c>
      <c r="AZ56" s="65">
        <v>0</v>
      </c>
      <c r="BA56" s="65">
        <v>0</v>
      </c>
      <c r="BB56" s="39">
        <v>44872625</v>
      </c>
      <c r="BC56" s="65">
        <v>0</v>
      </c>
      <c r="BD56" s="65">
        <v>38954457</v>
      </c>
      <c r="BE56" s="65">
        <v>0</v>
      </c>
      <c r="BF56" s="65">
        <v>0</v>
      </c>
      <c r="BG56" s="39">
        <v>38954457</v>
      </c>
      <c r="BH56" s="65">
        <v>0</v>
      </c>
      <c r="BI56" s="65">
        <v>0</v>
      </c>
      <c r="BJ56" s="65">
        <v>0</v>
      </c>
      <c r="BK56" s="65">
        <v>0</v>
      </c>
      <c r="BL56" s="39">
        <v>0</v>
      </c>
      <c r="BM56" s="65">
        <v>0</v>
      </c>
      <c r="BN56" s="65">
        <v>0</v>
      </c>
      <c r="BO56" s="65">
        <v>0</v>
      </c>
      <c r="BP56" s="65">
        <v>0</v>
      </c>
      <c r="BQ56" s="39">
        <v>0</v>
      </c>
      <c r="BR56" s="65">
        <v>0</v>
      </c>
      <c r="BS56" s="65">
        <v>442808097</v>
      </c>
      <c r="BT56" s="65">
        <v>0</v>
      </c>
      <c r="BU56" s="65">
        <v>0</v>
      </c>
      <c r="BV56" s="39">
        <v>442808097</v>
      </c>
      <c r="BW56" s="9"/>
      <c r="BX56" s="208"/>
      <c r="BZ56" s="228"/>
      <c r="CA56" s="265"/>
      <c r="CB56" s="230"/>
    </row>
    <row r="57" spans="1:80" ht="13.5" customHeight="1" x14ac:dyDescent="0.2">
      <c r="A57" s="202" t="s">
        <v>234</v>
      </c>
      <c r="B57" s="227"/>
      <c r="D57" s="225"/>
      <c r="E57" s="65">
        <v>0</v>
      </c>
      <c r="F57" s="65">
        <v>14026878</v>
      </c>
      <c r="G57" s="65">
        <v>0</v>
      </c>
      <c r="H57" s="65">
        <v>0</v>
      </c>
      <c r="I57" s="39">
        <v>14026878</v>
      </c>
      <c r="J57" s="66">
        <v>0</v>
      </c>
      <c r="K57" s="65">
        <v>0</v>
      </c>
      <c r="L57" s="65">
        <v>0</v>
      </c>
      <c r="M57" s="65">
        <v>0</v>
      </c>
      <c r="N57" s="39">
        <v>0</v>
      </c>
      <c r="O57" s="65">
        <v>0</v>
      </c>
      <c r="P57" s="65">
        <v>0</v>
      </c>
      <c r="Q57" s="65">
        <v>0</v>
      </c>
      <c r="R57" s="65">
        <v>0</v>
      </c>
      <c r="S57" s="39">
        <v>0</v>
      </c>
      <c r="T57" s="65">
        <v>0</v>
      </c>
      <c r="U57" s="65">
        <v>0</v>
      </c>
      <c r="V57" s="65">
        <v>0</v>
      </c>
      <c r="W57" s="65">
        <v>0</v>
      </c>
      <c r="X57" s="39">
        <v>0</v>
      </c>
      <c r="Y57" s="65">
        <v>0</v>
      </c>
      <c r="Z57" s="65">
        <v>0</v>
      </c>
      <c r="AA57" s="65">
        <v>0</v>
      </c>
      <c r="AB57" s="65">
        <v>0</v>
      </c>
      <c r="AC57" s="39">
        <v>0</v>
      </c>
      <c r="AD57" s="65">
        <v>0</v>
      </c>
      <c r="AE57" s="65">
        <v>4675628</v>
      </c>
      <c r="AF57" s="65">
        <v>0</v>
      </c>
      <c r="AG57" s="65">
        <v>0</v>
      </c>
      <c r="AH57" s="39">
        <v>4675628</v>
      </c>
      <c r="AI57" s="65">
        <v>0</v>
      </c>
      <c r="AJ57" s="65">
        <v>0</v>
      </c>
      <c r="AK57" s="65">
        <v>0</v>
      </c>
      <c r="AL57" s="65">
        <v>0</v>
      </c>
      <c r="AM57" s="39">
        <v>0</v>
      </c>
      <c r="AN57" s="65">
        <v>0</v>
      </c>
      <c r="AO57" s="65">
        <v>0</v>
      </c>
      <c r="AP57" s="65">
        <v>0</v>
      </c>
      <c r="AQ57" s="65">
        <v>0</v>
      </c>
      <c r="AR57" s="39">
        <v>0</v>
      </c>
      <c r="AS57" s="65">
        <v>0</v>
      </c>
      <c r="AT57" s="65">
        <v>0</v>
      </c>
      <c r="AU57" s="65">
        <v>0</v>
      </c>
      <c r="AV57" s="65">
        <v>0</v>
      </c>
      <c r="AW57" s="39">
        <v>0</v>
      </c>
      <c r="AX57" s="65">
        <v>0</v>
      </c>
      <c r="AY57" s="65">
        <v>4675628</v>
      </c>
      <c r="AZ57" s="65">
        <v>0</v>
      </c>
      <c r="BA57" s="65">
        <v>0</v>
      </c>
      <c r="BB57" s="39">
        <v>4675628</v>
      </c>
      <c r="BC57" s="65">
        <v>0</v>
      </c>
      <c r="BD57" s="65">
        <v>0</v>
      </c>
      <c r="BE57" s="65">
        <v>0</v>
      </c>
      <c r="BF57" s="65">
        <v>0</v>
      </c>
      <c r="BG57" s="39">
        <v>0</v>
      </c>
      <c r="BH57" s="65">
        <v>0</v>
      </c>
      <c r="BI57" s="65">
        <v>0</v>
      </c>
      <c r="BJ57" s="65">
        <v>0</v>
      </c>
      <c r="BK57" s="65">
        <v>0</v>
      </c>
      <c r="BL57" s="39">
        <v>0</v>
      </c>
      <c r="BM57" s="65">
        <v>0</v>
      </c>
      <c r="BN57" s="65">
        <v>0</v>
      </c>
      <c r="BO57" s="65">
        <v>0</v>
      </c>
      <c r="BP57" s="65">
        <v>0</v>
      </c>
      <c r="BQ57" s="39">
        <v>0</v>
      </c>
      <c r="BR57" s="65">
        <v>0</v>
      </c>
      <c r="BS57" s="65">
        <v>9351256</v>
      </c>
      <c r="BT57" s="65">
        <v>0</v>
      </c>
      <c r="BU57" s="65">
        <v>0</v>
      </c>
      <c r="BV57" s="39">
        <v>9351256</v>
      </c>
      <c r="BW57" s="9"/>
      <c r="BX57" s="208"/>
      <c r="BZ57" s="228"/>
      <c r="CA57" s="265"/>
      <c r="CB57" s="230"/>
    </row>
    <row r="58" spans="1:80" ht="12" customHeight="1" x14ac:dyDescent="0.2">
      <c r="A58" s="202" t="s">
        <v>235</v>
      </c>
      <c r="B58" s="227"/>
      <c r="D58" s="221" t="s">
        <v>87</v>
      </c>
      <c r="E58" s="65">
        <v>0</v>
      </c>
      <c r="F58" s="65">
        <v>0</v>
      </c>
      <c r="G58" s="65">
        <v>0</v>
      </c>
      <c r="H58" s="65">
        <v>177615</v>
      </c>
      <c r="I58" s="39">
        <v>177615</v>
      </c>
      <c r="J58" s="66">
        <v>0</v>
      </c>
      <c r="K58" s="65">
        <v>0</v>
      </c>
      <c r="L58" s="65">
        <v>0</v>
      </c>
      <c r="M58" s="65">
        <v>18</v>
      </c>
      <c r="N58" s="39">
        <v>18</v>
      </c>
      <c r="O58" s="65">
        <v>0</v>
      </c>
      <c r="P58" s="65">
        <v>0</v>
      </c>
      <c r="Q58" s="65">
        <v>0</v>
      </c>
      <c r="R58" s="65">
        <v>111334</v>
      </c>
      <c r="S58" s="39">
        <v>111334</v>
      </c>
      <c r="T58" s="65">
        <v>0</v>
      </c>
      <c r="U58" s="65">
        <v>0</v>
      </c>
      <c r="V58" s="65">
        <v>0</v>
      </c>
      <c r="W58" s="65">
        <v>2</v>
      </c>
      <c r="X58" s="39">
        <v>2</v>
      </c>
      <c r="Y58" s="65">
        <v>0</v>
      </c>
      <c r="Z58" s="65">
        <v>0</v>
      </c>
      <c r="AA58" s="65">
        <v>0</v>
      </c>
      <c r="AB58" s="65">
        <v>0</v>
      </c>
      <c r="AC58" s="39">
        <v>0</v>
      </c>
      <c r="AD58" s="65">
        <v>0</v>
      </c>
      <c r="AE58" s="65">
        <v>0</v>
      </c>
      <c r="AF58" s="65">
        <v>0</v>
      </c>
      <c r="AG58" s="65">
        <v>1</v>
      </c>
      <c r="AH58" s="39">
        <v>1</v>
      </c>
      <c r="AI58" s="65">
        <v>0</v>
      </c>
      <c r="AJ58" s="65">
        <v>0</v>
      </c>
      <c r="AK58" s="65">
        <v>0</v>
      </c>
      <c r="AL58" s="65">
        <v>66260</v>
      </c>
      <c r="AM58" s="39">
        <v>66260</v>
      </c>
      <c r="AN58" s="65">
        <v>0</v>
      </c>
      <c r="AO58" s="65">
        <v>0</v>
      </c>
      <c r="AP58" s="65">
        <v>0</v>
      </c>
      <c r="AQ58" s="65">
        <v>260</v>
      </c>
      <c r="AR58" s="39">
        <v>260</v>
      </c>
      <c r="AS58" s="65">
        <v>0</v>
      </c>
      <c r="AT58" s="65">
        <v>0</v>
      </c>
      <c r="AU58" s="65">
        <v>0</v>
      </c>
      <c r="AV58" s="65">
        <v>0</v>
      </c>
      <c r="AW58" s="39">
        <v>0</v>
      </c>
      <c r="AX58" s="65">
        <v>0</v>
      </c>
      <c r="AY58" s="65">
        <v>0</v>
      </c>
      <c r="AZ58" s="65">
        <v>0</v>
      </c>
      <c r="BA58" s="65">
        <v>2</v>
      </c>
      <c r="BB58" s="39">
        <v>2</v>
      </c>
      <c r="BC58" s="65">
        <v>0</v>
      </c>
      <c r="BD58" s="65">
        <v>0</v>
      </c>
      <c r="BE58" s="65">
        <v>0</v>
      </c>
      <c r="BF58" s="65">
        <v>8</v>
      </c>
      <c r="BG58" s="39">
        <v>8</v>
      </c>
      <c r="BH58" s="65">
        <v>0</v>
      </c>
      <c r="BI58" s="65">
        <v>0</v>
      </c>
      <c r="BJ58" s="65">
        <v>0</v>
      </c>
      <c r="BK58" s="65">
        <v>0</v>
      </c>
      <c r="BL58" s="39">
        <v>0</v>
      </c>
      <c r="BM58" s="65">
        <v>0</v>
      </c>
      <c r="BN58" s="65">
        <v>0</v>
      </c>
      <c r="BO58" s="65">
        <v>0</v>
      </c>
      <c r="BP58" s="65">
        <v>0</v>
      </c>
      <c r="BQ58" s="39">
        <v>0</v>
      </c>
      <c r="BR58" s="65">
        <v>0</v>
      </c>
      <c r="BS58" s="65">
        <v>0</v>
      </c>
      <c r="BT58" s="65">
        <v>0</v>
      </c>
      <c r="BU58" s="65">
        <v>177885</v>
      </c>
      <c r="BV58" s="39">
        <v>177885</v>
      </c>
      <c r="BW58" s="9"/>
      <c r="BX58" s="208"/>
      <c r="BZ58" s="228"/>
      <c r="CA58" s="265"/>
      <c r="CB58" s="230"/>
    </row>
    <row r="59" spans="1:80" x14ac:dyDescent="0.2">
      <c r="A59" s="202" t="s">
        <v>236</v>
      </c>
      <c r="B59" s="227"/>
      <c r="D59" s="221"/>
      <c r="E59" s="65">
        <v>0</v>
      </c>
      <c r="F59" s="65">
        <v>120001</v>
      </c>
      <c r="G59" s="65">
        <v>0</v>
      </c>
      <c r="H59" s="65">
        <v>0</v>
      </c>
      <c r="I59" s="39">
        <v>120001</v>
      </c>
      <c r="J59" s="66">
        <v>0</v>
      </c>
      <c r="K59" s="65">
        <v>0</v>
      </c>
      <c r="L59" s="65">
        <v>0</v>
      </c>
      <c r="M59" s="65">
        <v>0</v>
      </c>
      <c r="N59" s="39">
        <v>0</v>
      </c>
      <c r="O59" s="65">
        <v>0</v>
      </c>
      <c r="P59" s="65">
        <v>0</v>
      </c>
      <c r="Q59" s="65">
        <v>0</v>
      </c>
      <c r="R59" s="65">
        <v>0</v>
      </c>
      <c r="S59" s="39">
        <v>0</v>
      </c>
      <c r="T59" s="65">
        <v>0</v>
      </c>
      <c r="U59" s="65">
        <v>40000</v>
      </c>
      <c r="V59" s="65">
        <v>0</v>
      </c>
      <c r="W59" s="65">
        <v>0</v>
      </c>
      <c r="X59" s="39">
        <v>40000</v>
      </c>
      <c r="Y59" s="65">
        <v>0</v>
      </c>
      <c r="Z59" s="65">
        <v>0</v>
      </c>
      <c r="AA59" s="65">
        <v>0</v>
      </c>
      <c r="AB59" s="65">
        <v>0</v>
      </c>
      <c r="AC59" s="39">
        <v>0</v>
      </c>
      <c r="AD59" s="65">
        <v>0</v>
      </c>
      <c r="AE59" s="65">
        <v>0</v>
      </c>
      <c r="AF59" s="65">
        <v>0</v>
      </c>
      <c r="AG59" s="65">
        <v>0</v>
      </c>
      <c r="AH59" s="39">
        <v>0</v>
      </c>
      <c r="AI59" s="65">
        <v>0</v>
      </c>
      <c r="AJ59" s="65">
        <v>30000</v>
      </c>
      <c r="AK59" s="65">
        <v>0</v>
      </c>
      <c r="AL59" s="65">
        <v>0</v>
      </c>
      <c r="AM59" s="39">
        <v>30000</v>
      </c>
      <c r="AN59" s="65">
        <v>0</v>
      </c>
      <c r="AO59" s="65">
        <v>0</v>
      </c>
      <c r="AP59" s="65">
        <v>0</v>
      </c>
      <c r="AQ59" s="65">
        <v>0</v>
      </c>
      <c r="AR59" s="39">
        <v>0</v>
      </c>
      <c r="AS59" s="65">
        <v>0</v>
      </c>
      <c r="AT59" s="65">
        <v>0</v>
      </c>
      <c r="AU59" s="65">
        <v>0</v>
      </c>
      <c r="AV59" s="65">
        <v>0</v>
      </c>
      <c r="AW59" s="39">
        <v>0</v>
      </c>
      <c r="AX59" s="65">
        <v>0</v>
      </c>
      <c r="AY59" s="65">
        <v>0</v>
      </c>
      <c r="AZ59" s="65">
        <v>0</v>
      </c>
      <c r="BA59" s="65">
        <v>0</v>
      </c>
      <c r="BB59" s="39">
        <v>0</v>
      </c>
      <c r="BC59" s="65">
        <v>0</v>
      </c>
      <c r="BD59" s="65">
        <v>0</v>
      </c>
      <c r="BE59" s="65">
        <v>0</v>
      </c>
      <c r="BF59" s="65">
        <v>0</v>
      </c>
      <c r="BG59" s="39">
        <v>0</v>
      </c>
      <c r="BH59" s="65">
        <v>0</v>
      </c>
      <c r="BI59" s="65">
        <v>0</v>
      </c>
      <c r="BJ59" s="65">
        <v>0</v>
      </c>
      <c r="BK59" s="65">
        <v>0</v>
      </c>
      <c r="BL59" s="39">
        <v>0</v>
      </c>
      <c r="BM59" s="65">
        <v>0</v>
      </c>
      <c r="BN59" s="65">
        <v>0</v>
      </c>
      <c r="BO59" s="65">
        <v>0</v>
      </c>
      <c r="BP59" s="65">
        <v>0</v>
      </c>
      <c r="BQ59" s="39">
        <v>0</v>
      </c>
      <c r="BR59" s="65">
        <v>0</v>
      </c>
      <c r="BS59" s="65">
        <v>70000</v>
      </c>
      <c r="BT59" s="65">
        <v>0</v>
      </c>
      <c r="BU59" s="65">
        <v>0</v>
      </c>
      <c r="BV59" s="39">
        <v>70000</v>
      </c>
      <c r="BW59" s="9"/>
      <c r="BX59" s="208"/>
      <c r="BZ59" s="228"/>
      <c r="CA59" s="265"/>
      <c r="CB59" s="230"/>
    </row>
    <row r="60" spans="1:80" x14ac:dyDescent="0.2">
      <c r="A60" s="202" t="s">
        <v>237</v>
      </c>
      <c r="B60" s="227"/>
      <c r="D60" s="221"/>
      <c r="E60" s="65"/>
      <c r="F60" s="65"/>
      <c r="G60" s="65"/>
      <c r="H60" s="65"/>
      <c r="I60" s="39"/>
      <c r="J60" s="65"/>
      <c r="K60" s="65"/>
      <c r="L60" s="65"/>
      <c r="M60" s="65"/>
      <c r="N60" s="39"/>
      <c r="O60" s="65"/>
      <c r="P60" s="65"/>
      <c r="Q60" s="65"/>
      <c r="R60" s="65"/>
      <c r="S60" s="39"/>
      <c r="T60" s="65"/>
      <c r="U60" s="65"/>
      <c r="V60" s="65"/>
      <c r="W60" s="65"/>
      <c r="X60" s="39"/>
      <c r="Y60" s="65"/>
      <c r="Z60" s="65"/>
      <c r="AA60" s="65"/>
      <c r="AB60" s="65"/>
      <c r="AC60" s="63"/>
      <c r="AD60" s="65"/>
      <c r="AE60" s="65"/>
      <c r="AF60" s="65"/>
      <c r="AG60" s="65"/>
      <c r="AH60" s="39"/>
      <c r="AI60" s="65"/>
      <c r="AJ60" s="65"/>
      <c r="AK60" s="65"/>
      <c r="AL60" s="65"/>
      <c r="AM60" s="39"/>
      <c r="AN60" s="65"/>
      <c r="AO60" s="65"/>
      <c r="AP60" s="65"/>
      <c r="AQ60" s="65"/>
      <c r="AR60" s="39"/>
      <c r="AS60" s="65"/>
      <c r="AT60" s="65"/>
      <c r="AU60" s="65"/>
      <c r="AV60" s="65"/>
      <c r="AW60" s="39"/>
      <c r="AX60" s="65"/>
      <c r="AY60" s="65"/>
      <c r="AZ60" s="65"/>
      <c r="BA60" s="65"/>
      <c r="BB60" s="39"/>
      <c r="BC60" s="65"/>
      <c r="BD60" s="65"/>
      <c r="BE60" s="65"/>
      <c r="BF60" s="65"/>
      <c r="BG60" s="39"/>
      <c r="BH60" s="65"/>
      <c r="BI60" s="65"/>
      <c r="BJ60" s="65"/>
      <c r="BK60" s="65"/>
      <c r="BL60" s="39"/>
      <c r="BM60" s="65"/>
      <c r="BN60" s="65"/>
      <c r="BO60" s="65"/>
      <c r="BP60" s="65"/>
      <c r="BQ60" s="39"/>
      <c r="BR60" s="65"/>
      <c r="BS60" s="65"/>
      <c r="BT60" s="65"/>
      <c r="BU60" s="65"/>
      <c r="BV60" s="39"/>
      <c r="BW60" s="9"/>
      <c r="BX60" s="208"/>
      <c r="BZ60" s="228"/>
      <c r="CB60" s="230"/>
    </row>
    <row r="61" spans="1:80" x14ac:dyDescent="0.2">
      <c r="A61" s="236" t="s">
        <v>238</v>
      </c>
      <c r="B61" s="227"/>
      <c r="D61" s="221" t="s">
        <v>90</v>
      </c>
      <c r="E61" s="65">
        <v>0</v>
      </c>
      <c r="F61" s="65">
        <v>0</v>
      </c>
      <c r="G61" s="65">
        <v>0</v>
      </c>
      <c r="H61" s="65">
        <v>217761</v>
      </c>
      <c r="I61" s="39">
        <v>217761</v>
      </c>
      <c r="J61" s="65">
        <v>0</v>
      </c>
      <c r="K61" s="65">
        <v>0</v>
      </c>
      <c r="L61" s="65">
        <v>0</v>
      </c>
      <c r="M61" s="65">
        <v>0</v>
      </c>
      <c r="N61" s="63">
        <v>0</v>
      </c>
      <c r="O61" s="65">
        <v>0</v>
      </c>
      <c r="P61" s="65">
        <v>0</v>
      </c>
      <c r="Q61" s="65">
        <v>0</v>
      </c>
      <c r="R61" s="65">
        <v>0</v>
      </c>
      <c r="S61" s="63">
        <v>0</v>
      </c>
      <c r="T61" s="65">
        <v>0</v>
      </c>
      <c r="U61" s="65">
        <v>0</v>
      </c>
      <c r="V61" s="65">
        <v>0</v>
      </c>
      <c r="W61" s="65">
        <v>0</v>
      </c>
      <c r="X61" s="63">
        <v>0</v>
      </c>
      <c r="Y61" s="65">
        <v>0</v>
      </c>
      <c r="Z61" s="65">
        <v>0</v>
      </c>
      <c r="AA61" s="65">
        <v>0</v>
      </c>
      <c r="AB61" s="65">
        <v>0</v>
      </c>
      <c r="AC61" s="69">
        <v>0</v>
      </c>
      <c r="AD61" s="65">
        <v>0</v>
      </c>
      <c r="AE61" s="65">
        <v>0</v>
      </c>
      <c r="AF61" s="65">
        <v>0</v>
      </c>
      <c r="AG61" s="65">
        <v>0</v>
      </c>
      <c r="AH61" s="63">
        <v>0</v>
      </c>
      <c r="AI61" s="65">
        <v>0</v>
      </c>
      <c r="AJ61" s="65">
        <v>0</v>
      </c>
      <c r="AK61" s="65">
        <v>0</v>
      </c>
      <c r="AL61" s="65">
        <v>217761</v>
      </c>
      <c r="AM61" s="39">
        <v>217761</v>
      </c>
      <c r="AN61" s="65">
        <v>0</v>
      </c>
      <c r="AO61" s="65">
        <v>0</v>
      </c>
      <c r="AP61" s="65">
        <v>0</v>
      </c>
      <c r="AQ61" s="65">
        <v>0</v>
      </c>
      <c r="AR61" s="63">
        <v>0</v>
      </c>
      <c r="AS61" s="65">
        <v>0</v>
      </c>
      <c r="AT61" s="65">
        <v>0</v>
      </c>
      <c r="AU61" s="65">
        <v>0</v>
      </c>
      <c r="AV61" s="65">
        <v>0</v>
      </c>
      <c r="AW61" s="39">
        <v>0</v>
      </c>
      <c r="AX61" s="65">
        <v>0</v>
      </c>
      <c r="AY61" s="65">
        <v>0</v>
      </c>
      <c r="AZ61" s="65">
        <v>0</v>
      </c>
      <c r="BA61" s="65">
        <v>0</v>
      </c>
      <c r="BB61" s="63">
        <v>0</v>
      </c>
      <c r="BC61" s="65">
        <v>0</v>
      </c>
      <c r="BD61" s="65">
        <v>0</v>
      </c>
      <c r="BE61" s="65">
        <v>0</v>
      </c>
      <c r="BF61" s="65">
        <v>0</v>
      </c>
      <c r="BG61" s="63">
        <v>0</v>
      </c>
      <c r="BH61" s="65">
        <v>0</v>
      </c>
      <c r="BI61" s="65">
        <v>0</v>
      </c>
      <c r="BJ61" s="65">
        <v>0</v>
      </c>
      <c r="BK61" s="65">
        <v>0</v>
      </c>
      <c r="BL61" s="63">
        <v>0</v>
      </c>
      <c r="BM61" s="65">
        <v>0</v>
      </c>
      <c r="BN61" s="65">
        <v>0</v>
      </c>
      <c r="BO61" s="65">
        <v>0</v>
      </c>
      <c r="BP61" s="65">
        <v>0</v>
      </c>
      <c r="BQ61" s="63">
        <v>0</v>
      </c>
      <c r="BR61" s="65">
        <v>0</v>
      </c>
      <c r="BS61" s="65">
        <v>0</v>
      </c>
      <c r="BT61" s="65">
        <v>0</v>
      </c>
      <c r="BU61" s="65">
        <v>217761</v>
      </c>
      <c r="BV61" s="39">
        <v>217761</v>
      </c>
      <c r="BW61" s="9"/>
      <c r="BX61" s="208"/>
      <c r="BZ61" s="228"/>
      <c r="CB61" s="230"/>
    </row>
    <row r="62" spans="1:80" x14ac:dyDescent="0.2">
      <c r="A62" s="171"/>
      <c r="B62" s="227" t="s">
        <v>239</v>
      </c>
      <c r="E62" s="234">
        <v>0</v>
      </c>
      <c r="F62" s="234">
        <v>0</v>
      </c>
      <c r="G62" s="234">
        <v>0</v>
      </c>
      <c r="H62" s="234">
        <v>143395</v>
      </c>
      <c r="I62" s="69">
        <v>143395</v>
      </c>
      <c r="J62" s="235"/>
      <c r="K62" s="234"/>
      <c r="L62" s="234"/>
      <c r="M62" s="234"/>
      <c r="N62" s="69"/>
      <c r="O62" s="234"/>
      <c r="P62" s="234"/>
      <c r="Q62" s="234"/>
      <c r="R62" s="234"/>
      <c r="S62" s="69"/>
      <c r="T62" s="234"/>
      <c r="U62" s="234"/>
      <c r="V62" s="234"/>
      <c r="W62" s="234"/>
      <c r="X62" s="69"/>
      <c r="Y62" s="234"/>
      <c r="Z62" s="234"/>
      <c r="AA62" s="234"/>
      <c r="AB62" s="234"/>
      <c r="AC62" s="69"/>
      <c r="AD62" s="234"/>
      <c r="AE62" s="234"/>
      <c r="AF62" s="234"/>
      <c r="AG62" s="234"/>
      <c r="AH62" s="69"/>
      <c r="AI62" s="234">
        <v>0</v>
      </c>
      <c r="AJ62" s="234">
        <v>0</v>
      </c>
      <c r="AK62" s="234">
        <v>0</v>
      </c>
      <c r="AL62" s="234">
        <v>143395</v>
      </c>
      <c r="AM62" s="69">
        <v>143395</v>
      </c>
      <c r="AN62" s="234">
        <v>0</v>
      </c>
      <c r="AO62" s="234">
        <v>0</v>
      </c>
      <c r="AP62" s="234">
        <v>0</v>
      </c>
      <c r="AQ62" s="234">
        <v>0</v>
      </c>
      <c r="AR62" s="69">
        <v>0</v>
      </c>
      <c r="AS62" s="234">
        <v>0</v>
      </c>
      <c r="AT62" s="234">
        <v>0</v>
      </c>
      <c r="AU62" s="234">
        <v>0</v>
      </c>
      <c r="AV62" s="234">
        <v>0</v>
      </c>
      <c r="AW62" s="39">
        <v>0</v>
      </c>
      <c r="AX62" s="234">
        <v>0</v>
      </c>
      <c r="AY62" s="234">
        <v>0</v>
      </c>
      <c r="AZ62" s="234">
        <v>0</v>
      </c>
      <c r="BA62" s="234">
        <v>0</v>
      </c>
      <c r="BB62" s="69">
        <v>0</v>
      </c>
      <c r="BC62" s="234">
        <v>0</v>
      </c>
      <c r="BD62" s="234">
        <v>0</v>
      </c>
      <c r="BE62" s="234">
        <v>0</v>
      </c>
      <c r="BF62" s="234">
        <v>0</v>
      </c>
      <c r="BG62" s="69">
        <v>0</v>
      </c>
      <c r="BH62" s="234"/>
      <c r="BI62" s="234"/>
      <c r="BJ62" s="234"/>
      <c r="BK62" s="234"/>
      <c r="BL62" s="69"/>
      <c r="BM62" s="234"/>
      <c r="BN62" s="234"/>
      <c r="BO62" s="234"/>
      <c r="BP62" s="234"/>
      <c r="BQ62" s="69"/>
      <c r="BR62" s="234">
        <v>0</v>
      </c>
      <c r="BS62" s="234">
        <v>0</v>
      </c>
      <c r="BT62" s="234">
        <v>0</v>
      </c>
      <c r="BU62" s="234">
        <v>143395</v>
      </c>
      <c r="BV62" s="39">
        <v>143395</v>
      </c>
      <c r="BW62" s="9"/>
      <c r="BX62" s="208"/>
      <c r="BZ62" s="228"/>
      <c r="CB62" s="230"/>
    </row>
    <row r="63" spans="1:80" x14ac:dyDescent="0.2">
      <c r="A63" s="202"/>
      <c r="B63" s="180" t="s">
        <v>240</v>
      </c>
      <c r="D63" s="221"/>
      <c r="E63" s="234">
        <v>0</v>
      </c>
      <c r="F63" s="234">
        <v>0</v>
      </c>
      <c r="G63" s="234">
        <v>0</v>
      </c>
      <c r="H63" s="234">
        <v>74366</v>
      </c>
      <c r="I63" s="69">
        <v>74366</v>
      </c>
      <c r="J63" s="235"/>
      <c r="K63" s="234"/>
      <c r="L63" s="234"/>
      <c r="M63" s="234"/>
      <c r="N63" s="69"/>
      <c r="O63" s="234"/>
      <c r="P63" s="234"/>
      <c r="Q63" s="234"/>
      <c r="R63" s="234"/>
      <c r="S63" s="69"/>
      <c r="T63" s="234"/>
      <c r="U63" s="234"/>
      <c r="V63" s="234"/>
      <c r="W63" s="234"/>
      <c r="X63" s="69"/>
      <c r="Y63" s="234"/>
      <c r="Z63" s="234"/>
      <c r="AA63" s="234"/>
      <c r="AB63" s="234"/>
      <c r="AC63" s="63"/>
      <c r="AD63" s="234"/>
      <c r="AE63" s="234"/>
      <c r="AF63" s="234"/>
      <c r="AG63" s="234"/>
      <c r="AH63" s="69"/>
      <c r="AI63" s="234">
        <v>0</v>
      </c>
      <c r="AJ63" s="234">
        <v>0</v>
      </c>
      <c r="AK63" s="234">
        <v>0</v>
      </c>
      <c r="AL63" s="234">
        <v>74366</v>
      </c>
      <c r="AM63" s="69">
        <v>74366</v>
      </c>
      <c r="AN63" s="234">
        <v>0</v>
      </c>
      <c r="AO63" s="234">
        <v>0</v>
      </c>
      <c r="AP63" s="234">
        <v>0</v>
      </c>
      <c r="AQ63" s="234">
        <v>0</v>
      </c>
      <c r="AR63" s="69">
        <v>0</v>
      </c>
      <c r="AS63" s="234">
        <v>0</v>
      </c>
      <c r="AT63" s="234">
        <v>0</v>
      </c>
      <c r="AU63" s="234">
        <v>0</v>
      </c>
      <c r="AV63" s="234">
        <v>0</v>
      </c>
      <c r="AW63" s="69">
        <v>0</v>
      </c>
      <c r="AX63" s="234">
        <v>0</v>
      </c>
      <c r="AY63" s="234">
        <v>0</v>
      </c>
      <c r="AZ63" s="234">
        <v>0</v>
      </c>
      <c r="BA63" s="234">
        <v>0</v>
      </c>
      <c r="BB63" s="69">
        <v>0</v>
      </c>
      <c r="BC63" s="234">
        <v>0</v>
      </c>
      <c r="BD63" s="234">
        <v>0</v>
      </c>
      <c r="BE63" s="234">
        <v>0</v>
      </c>
      <c r="BF63" s="234">
        <v>0</v>
      </c>
      <c r="BG63" s="69">
        <v>0</v>
      </c>
      <c r="BH63" s="234"/>
      <c r="BI63" s="234"/>
      <c r="BJ63" s="234"/>
      <c r="BK63" s="234"/>
      <c r="BL63" s="69"/>
      <c r="BM63" s="234"/>
      <c r="BN63" s="234"/>
      <c r="BO63" s="234"/>
      <c r="BP63" s="234"/>
      <c r="BQ63" s="69"/>
      <c r="BR63" s="234">
        <v>0</v>
      </c>
      <c r="BS63" s="234">
        <v>0</v>
      </c>
      <c r="BT63" s="234">
        <v>0</v>
      </c>
      <c r="BU63" s="234">
        <v>74366</v>
      </c>
      <c r="BV63" s="39">
        <v>74366</v>
      </c>
      <c r="BW63" s="9"/>
      <c r="BX63" s="208"/>
      <c r="BZ63" s="228"/>
      <c r="CA63" s="265"/>
      <c r="CB63" s="230"/>
    </row>
    <row r="64" spans="1:80" hidden="1" x14ac:dyDescent="0.2">
      <c r="A64" s="236" t="s">
        <v>241</v>
      </c>
      <c r="B64" s="227"/>
      <c r="D64" s="221" t="s">
        <v>127</v>
      </c>
      <c r="E64" s="65">
        <v>0</v>
      </c>
      <c r="F64" s="65">
        <v>0</v>
      </c>
      <c r="G64" s="65">
        <v>0</v>
      </c>
      <c r="H64" s="65">
        <v>0</v>
      </c>
      <c r="I64" s="39">
        <v>0</v>
      </c>
      <c r="J64" s="65">
        <v>0</v>
      </c>
      <c r="K64" s="65">
        <v>0</v>
      </c>
      <c r="L64" s="65">
        <v>0</v>
      </c>
      <c r="M64" s="65">
        <v>0</v>
      </c>
      <c r="N64" s="63">
        <v>0</v>
      </c>
      <c r="O64" s="65">
        <v>0</v>
      </c>
      <c r="P64" s="65">
        <v>0</v>
      </c>
      <c r="Q64" s="65">
        <v>0</v>
      </c>
      <c r="R64" s="65">
        <v>0</v>
      </c>
      <c r="S64" s="63">
        <v>0</v>
      </c>
      <c r="T64" s="65">
        <v>0</v>
      </c>
      <c r="U64" s="65">
        <v>0</v>
      </c>
      <c r="V64" s="65">
        <v>0</v>
      </c>
      <c r="W64" s="65">
        <v>0</v>
      </c>
      <c r="X64" s="63">
        <v>0</v>
      </c>
      <c r="Y64" s="65">
        <v>0</v>
      </c>
      <c r="Z64" s="65">
        <v>0</v>
      </c>
      <c r="AA64" s="65">
        <v>0</v>
      </c>
      <c r="AB64" s="65">
        <v>0</v>
      </c>
      <c r="AC64" s="39">
        <v>0</v>
      </c>
      <c r="AD64" s="65">
        <v>0</v>
      </c>
      <c r="AE64" s="65">
        <v>0</v>
      </c>
      <c r="AF64" s="65">
        <v>0</v>
      </c>
      <c r="AG64" s="65">
        <v>0</v>
      </c>
      <c r="AH64" s="63">
        <v>0</v>
      </c>
      <c r="AI64" s="65">
        <v>0</v>
      </c>
      <c r="AJ64" s="65">
        <v>0</v>
      </c>
      <c r="AK64" s="65">
        <v>0</v>
      </c>
      <c r="AL64" s="65">
        <v>6571667</v>
      </c>
      <c r="AM64" s="39">
        <v>6571667</v>
      </c>
      <c r="AN64" s="65">
        <v>0</v>
      </c>
      <c r="AO64" s="65">
        <v>0</v>
      </c>
      <c r="AP64" s="65">
        <v>0</v>
      </c>
      <c r="AQ64" s="65">
        <v>0</v>
      </c>
      <c r="AR64" s="63">
        <v>0</v>
      </c>
      <c r="AS64" s="65">
        <v>0</v>
      </c>
      <c r="AT64" s="65">
        <v>0</v>
      </c>
      <c r="AU64" s="65">
        <v>0</v>
      </c>
      <c r="AV64" s="65">
        <v>0</v>
      </c>
      <c r="AW64" s="63">
        <v>0</v>
      </c>
      <c r="AX64" s="65">
        <v>0</v>
      </c>
      <c r="AY64" s="65">
        <v>0</v>
      </c>
      <c r="AZ64" s="65">
        <v>0</v>
      </c>
      <c r="BA64" s="65">
        <v>-6571667</v>
      </c>
      <c r="BB64" s="63">
        <v>-6571667</v>
      </c>
      <c r="BC64" s="65">
        <v>0</v>
      </c>
      <c r="BD64" s="65">
        <v>0</v>
      </c>
      <c r="BE64" s="65">
        <v>0</v>
      </c>
      <c r="BF64" s="65">
        <v>0</v>
      </c>
      <c r="BG64" s="63">
        <v>0</v>
      </c>
      <c r="BH64" s="65">
        <v>0</v>
      </c>
      <c r="BI64" s="65">
        <v>0</v>
      </c>
      <c r="BJ64" s="65">
        <v>0</v>
      </c>
      <c r="BK64" s="65">
        <v>0</v>
      </c>
      <c r="BL64" s="63">
        <v>0</v>
      </c>
      <c r="BM64" s="65">
        <v>0</v>
      </c>
      <c r="BN64" s="65">
        <v>0</v>
      </c>
      <c r="BO64" s="65">
        <v>0</v>
      </c>
      <c r="BP64" s="65">
        <v>0</v>
      </c>
      <c r="BQ64" s="63">
        <v>0</v>
      </c>
      <c r="BR64" s="65">
        <v>0</v>
      </c>
      <c r="BS64" s="65">
        <v>0</v>
      </c>
      <c r="BT64" s="65">
        <v>0</v>
      </c>
      <c r="BU64" s="65">
        <v>0</v>
      </c>
      <c r="BV64" s="39">
        <v>0</v>
      </c>
      <c r="BW64" s="9"/>
      <c r="BX64" s="208"/>
      <c r="BZ64" s="228"/>
      <c r="CA64" s="265"/>
      <c r="CB64" s="230"/>
    </row>
    <row r="65" spans="1:80" hidden="1" x14ac:dyDescent="0.2">
      <c r="A65" s="202"/>
      <c r="B65" s="227" t="s">
        <v>242</v>
      </c>
      <c r="D65" s="221"/>
      <c r="E65" s="65">
        <v>0</v>
      </c>
      <c r="F65" s="65">
        <v>0</v>
      </c>
      <c r="G65" s="65">
        <v>0</v>
      </c>
      <c r="H65" s="65">
        <v>0</v>
      </c>
      <c r="I65" s="39">
        <v>0</v>
      </c>
      <c r="J65" s="66"/>
      <c r="K65" s="65"/>
      <c r="L65" s="65"/>
      <c r="M65" s="65"/>
      <c r="N65" s="39"/>
      <c r="O65" s="65"/>
      <c r="P65" s="65"/>
      <c r="Q65" s="65"/>
      <c r="R65" s="65"/>
      <c r="S65" s="39"/>
      <c r="T65" s="65"/>
      <c r="U65" s="65"/>
      <c r="V65" s="65"/>
      <c r="W65" s="65"/>
      <c r="X65" s="39"/>
      <c r="Y65" s="65"/>
      <c r="Z65" s="65"/>
      <c r="AA65" s="65"/>
      <c r="AB65" s="65"/>
      <c r="AC65" s="39"/>
      <c r="AD65" s="65"/>
      <c r="AE65" s="65"/>
      <c r="AF65" s="65"/>
      <c r="AG65" s="65"/>
      <c r="AH65" s="39"/>
      <c r="AI65" s="65">
        <v>0</v>
      </c>
      <c r="AJ65" s="65">
        <v>0</v>
      </c>
      <c r="AK65" s="65">
        <v>0</v>
      </c>
      <c r="AL65" s="65">
        <v>6571667</v>
      </c>
      <c r="AM65" s="39">
        <v>6571667</v>
      </c>
      <c r="AN65" s="65">
        <v>0</v>
      </c>
      <c r="AO65" s="65">
        <v>0</v>
      </c>
      <c r="AP65" s="65">
        <v>0</v>
      </c>
      <c r="AQ65" s="65">
        <v>0</v>
      </c>
      <c r="AR65" s="39">
        <v>0</v>
      </c>
      <c r="AS65" s="65">
        <v>0</v>
      </c>
      <c r="AT65" s="65">
        <v>0</v>
      </c>
      <c r="AU65" s="65">
        <v>0</v>
      </c>
      <c r="AV65" s="65">
        <v>0</v>
      </c>
      <c r="AW65" s="39">
        <v>0</v>
      </c>
      <c r="AX65" s="65">
        <v>0</v>
      </c>
      <c r="AY65" s="65">
        <v>0</v>
      </c>
      <c r="AZ65" s="65">
        <v>0</v>
      </c>
      <c r="BA65" s="65">
        <v>-6571667</v>
      </c>
      <c r="BB65" s="39">
        <v>-6571667</v>
      </c>
      <c r="BC65" s="65"/>
      <c r="BD65" s="65"/>
      <c r="BE65" s="65"/>
      <c r="BF65" s="65"/>
      <c r="BG65" s="39"/>
      <c r="BH65" s="65"/>
      <c r="BI65" s="65"/>
      <c r="BJ65" s="65"/>
      <c r="BK65" s="65"/>
      <c r="BL65" s="39"/>
      <c r="BM65" s="65"/>
      <c r="BN65" s="65"/>
      <c r="BO65" s="65"/>
      <c r="BP65" s="65"/>
      <c r="BQ65" s="39"/>
      <c r="BR65" s="234">
        <v>0</v>
      </c>
      <c r="BS65" s="234">
        <v>0</v>
      </c>
      <c r="BT65" s="234">
        <v>0</v>
      </c>
      <c r="BU65" s="234">
        <v>0</v>
      </c>
      <c r="BV65" s="69">
        <v>0</v>
      </c>
      <c r="BW65" s="9"/>
      <c r="BX65" s="208"/>
      <c r="BZ65" s="228"/>
      <c r="CA65" s="265"/>
      <c r="CB65" s="230"/>
    </row>
    <row r="66" spans="1:80" x14ac:dyDescent="0.2">
      <c r="A66" s="202" t="s">
        <v>243</v>
      </c>
      <c r="B66" s="227"/>
      <c r="C66" s="227"/>
      <c r="D66" s="225"/>
      <c r="E66" s="65">
        <v>0</v>
      </c>
      <c r="F66" s="65">
        <v>10174611</v>
      </c>
      <c r="G66" s="65">
        <v>0</v>
      </c>
      <c r="H66" s="65">
        <v>0</v>
      </c>
      <c r="I66" s="39">
        <v>10174611</v>
      </c>
      <c r="J66" s="66">
        <v>0</v>
      </c>
      <c r="K66" s="65">
        <v>1745798</v>
      </c>
      <c r="L66" s="65">
        <v>0</v>
      </c>
      <c r="M66" s="65">
        <v>0</v>
      </c>
      <c r="N66" s="39">
        <v>1745798</v>
      </c>
      <c r="O66" s="65">
        <v>0</v>
      </c>
      <c r="P66" s="65">
        <v>1447692</v>
      </c>
      <c r="Q66" s="65">
        <v>0</v>
      </c>
      <c r="R66" s="65">
        <v>0</v>
      </c>
      <c r="S66" s="39">
        <v>1447692</v>
      </c>
      <c r="T66" s="65">
        <v>0</v>
      </c>
      <c r="U66" s="65">
        <v>1118322</v>
      </c>
      <c r="V66" s="65">
        <v>0</v>
      </c>
      <c r="W66" s="65">
        <v>0</v>
      </c>
      <c r="X66" s="39">
        <v>1118322</v>
      </c>
      <c r="Y66" s="65">
        <v>0</v>
      </c>
      <c r="Z66" s="65">
        <v>54518</v>
      </c>
      <c r="AA66" s="65">
        <v>0</v>
      </c>
      <c r="AB66" s="65">
        <v>0</v>
      </c>
      <c r="AC66" s="39">
        <v>54518</v>
      </c>
      <c r="AD66" s="65">
        <v>0</v>
      </c>
      <c r="AE66" s="65">
        <v>92107</v>
      </c>
      <c r="AF66" s="65">
        <v>0</v>
      </c>
      <c r="AG66" s="65">
        <v>0</v>
      </c>
      <c r="AH66" s="39">
        <v>92107</v>
      </c>
      <c r="AI66" s="65">
        <v>0</v>
      </c>
      <c r="AJ66" s="65">
        <v>75474</v>
      </c>
      <c r="AK66" s="65">
        <v>0</v>
      </c>
      <c r="AL66" s="65">
        <v>0</v>
      </c>
      <c r="AM66" s="39">
        <v>75474</v>
      </c>
      <c r="AN66" s="65">
        <v>0</v>
      </c>
      <c r="AO66" s="65">
        <v>169312</v>
      </c>
      <c r="AP66" s="65">
        <v>0</v>
      </c>
      <c r="AQ66" s="65">
        <v>0</v>
      </c>
      <c r="AR66" s="39">
        <v>169312</v>
      </c>
      <c r="AS66" s="65">
        <v>0</v>
      </c>
      <c r="AT66" s="65">
        <v>1460680</v>
      </c>
      <c r="AU66" s="65">
        <v>0</v>
      </c>
      <c r="AV66" s="65">
        <v>0</v>
      </c>
      <c r="AW66" s="39">
        <v>1460680</v>
      </c>
      <c r="AX66" s="65">
        <v>0</v>
      </c>
      <c r="AY66" s="65">
        <v>1486244</v>
      </c>
      <c r="AZ66" s="65">
        <v>0</v>
      </c>
      <c r="BA66" s="65">
        <v>0</v>
      </c>
      <c r="BB66" s="39">
        <v>1486244</v>
      </c>
      <c r="BC66" s="65">
        <v>0</v>
      </c>
      <c r="BD66" s="65">
        <v>1665558</v>
      </c>
      <c r="BE66" s="65">
        <v>0</v>
      </c>
      <c r="BF66" s="65">
        <v>0</v>
      </c>
      <c r="BG66" s="39">
        <v>1665558</v>
      </c>
      <c r="BH66" s="65">
        <v>0</v>
      </c>
      <c r="BI66" s="65">
        <v>0</v>
      </c>
      <c r="BJ66" s="65">
        <v>0</v>
      </c>
      <c r="BK66" s="65">
        <v>0</v>
      </c>
      <c r="BL66" s="39">
        <v>0</v>
      </c>
      <c r="BM66" s="65">
        <v>0</v>
      </c>
      <c r="BN66" s="65">
        <v>0</v>
      </c>
      <c r="BO66" s="65">
        <v>0</v>
      </c>
      <c r="BP66" s="65">
        <v>0</v>
      </c>
      <c r="BQ66" s="39">
        <v>0</v>
      </c>
      <c r="BR66" s="65">
        <v>0</v>
      </c>
      <c r="BS66" s="65">
        <v>9315705</v>
      </c>
      <c r="BT66" s="65">
        <v>0</v>
      </c>
      <c r="BU66" s="65">
        <v>0</v>
      </c>
      <c r="BV66" s="39">
        <v>9315705</v>
      </c>
      <c r="BW66" s="9"/>
      <c r="BX66" s="208"/>
      <c r="BZ66" s="228"/>
      <c r="CA66" s="265"/>
      <c r="CB66" s="230"/>
    </row>
    <row r="67" spans="1:80" x14ac:dyDescent="0.2">
      <c r="A67" s="202" t="s">
        <v>244</v>
      </c>
      <c r="B67" s="227"/>
      <c r="D67" s="225"/>
      <c r="E67" s="65">
        <v>2364318</v>
      </c>
      <c r="F67" s="65">
        <v>78141</v>
      </c>
      <c r="G67" s="65">
        <v>0</v>
      </c>
      <c r="H67" s="65">
        <v>0</v>
      </c>
      <c r="I67" s="39">
        <v>2442459</v>
      </c>
      <c r="J67" s="66">
        <v>183244</v>
      </c>
      <c r="K67" s="65">
        <v>2943</v>
      </c>
      <c r="L67" s="65">
        <v>0</v>
      </c>
      <c r="M67" s="65">
        <v>0</v>
      </c>
      <c r="N67" s="39">
        <v>186187</v>
      </c>
      <c r="O67" s="65">
        <v>176962</v>
      </c>
      <c r="P67" s="65">
        <v>2357</v>
      </c>
      <c r="Q67" s="65">
        <v>0</v>
      </c>
      <c r="R67" s="65">
        <v>0</v>
      </c>
      <c r="S67" s="39">
        <v>179319</v>
      </c>
      <c r="T67" s="65">
        <v>170758</v>
      </c>
      <c r="U67" s="65">
        <v>3390</v>
      </c>
      <c r="V67" s="65">
        <v>0</v>
      </c>
      <c r="W67" s="65">
        <v>0</v>
      </c>
      <c r="X67" s="39">
        <v>174148</v>
      </c>
      <c r="Y67" s="65">
        <v>172932</v>
      </c>
      <c r="Z67" s="65">
        <v>2942</v>
      </c>
      <c r="AA67" s="65">
        <v>0</v>
      </c>
      <c r="AB67" s="65">
        <v>0</v>
      </c>
      <c r="AC67" s="39">
        <v>175874</v>
      </c>
      <c r="AD67" s="65">
        <v>174882</v>
      </c>
      <c r="AE67" s="65">
        <v>1456</v>
      </c>
      <c r="AF67" s="65">
        <v>0</v>
      </c>
      <c r="AG67" s="65">
        <v>0</v>
      </c>
      <c r="AH67" s="39">
        <v>176338</v>
      </c>
      <c r="AI67" s="65">
        <v>176606</v>
      </c>
      <c r="AJ67" s="65">
        <v>5120</v>
      </c>
      <c r="AK67" s="65">
        <v>0</v>
      </c>
      <c r="AL67" s="65">
        <v>0</v>
      </c>
      <c r="AM67" s="39">
        <v>181726</v>
      </c>
      <c r="AN67" s="65">
        <v>174450</v>
      </c>
      <c r="AO67" s="65">
        <v>2043</v>
      </c>
      <c r="AP67" s="65">
        <v>0</v>
      </c>
      <c r="AQ67" s="65">
        <v>0</v>
      </c>
      <c r="AR67" s="39">
        <v>176493</v>
      </c>
      <c r="AS67" s="65">
        <v>175730</v>
      </c>
      <c r="AT67" s="65">
        <v>4459</v>
      </c>
      <c r="AU67" s="65">
        <v>0</v>
      </c>
      <c r="AV67" s="65">
        <v>0</v>
      </c>
      <c r="AW67" s="39">
        <v>180189</v>
      </c>
      <c r="AX67" s="65">
        <v>176605</v>
      </c>
      <c r="AY67" s="65">
        <v>2114</v>
      </c>
      <c r="AZ67" s="65">
        <v>0</v>
      </c>
      <c r="BA67" s="65">
        <v>0</v>
      </c>
      <c r="BB67" s="39">
        <v>178719</v>
      </c>
      <c r="BC67" s="65">
        <v>172324</v>
      </c>
      <c r="BD67" s="65">
        <v>5394</v>
      </c>
      <c r="BE67" s="65">
        <v>0</v>
      </c>
      <c r="BF67" s="65">
        <v>0</v>
      </c>
      <c r="BG67" s="39">
        <v>177718</v>
      </c>
      <c r="BH67" s="65">
        <v>0</v>
      </c>
      <c r="BI67" s="65">
        <v>0</v>
      </c>
      <c r="BJ67" s="65">
        <v>0</v>
      </c>
      <c r="BK67" s="65">
        <v>0</v>
      </c>
      <c r="BL67" s="39">
        <v>0</v>
      </c>
      <c r="BM67" s="65">
        <v>0</v>
      </c>
      <c r="BN67" s="65">
        <v>0</v>
      </c>
      <c r="BO67" s="65">
        <v>0</v>
      </c>
      <c r="BP67" s="65">
        <v>0</v>
      </c>
      <c r="BQ67" s="39">
        <v>0</v>
      </c>
      <c r="BR67" s="65">
        <v>1754493</v>
      </c>
      <c r="BS67" s="65">
        <v>32218</v>
      </c>
      <c r="BT67" s="65">
        <v>0</v>
      </c>
      <c r="BU67" s="65">
        <v>0</v>
      </c>
      <c r="BV67" s="39">
        <v>1786711</v>
      </c>
      <c r="BW67" s="9"/>
      <c r="BX67" s="208"/>
      <c r="BZ67" s="228"/>
      <c r="CA67" s="265"/>
      <c r="CB67" s="230"/>
    </row>
    <row r="68" spans="1:80" x14ac:dyDescent="0.2">
      <c r="A68" s="211" t="s">
        <v>245</v>
      </c>
      <c r="B68" s="237"/>
      <c r="D68" s="225"/>
      <c r="E68" s="65">
        <v>991212</v>
      </c>
      <c r="F68" s="65">
        <v>126719</v>
      </c>
      <c r="G68" s="65">
        <v>0</v>
      </c>
      <c r="H68" s="65">
        <v>0</v>
      </c>
      <c r="I68" s="39">
        <v>1117931</v>
      </c>
      <c r="J68" s="66">
        <v>76516</v>
      </c>
      <c r="K68" s="65">
        <v>6553</v>
      </c>
      <c r="L68" s="65">
        <v>0</v>
      </c>
      <c r="M68" s="65">
        <v>0</v>
      </c>
      <c r="N68" s="39">
        <v>83069</v>
      </c>
      <c r="O68" s="65">
        <v>79279</v>
      </c>
      <c r="P68" s="65">
        <v>201</v>
      </c>
      <c r="Q68" s="65">
        <v>0</v>
      </c>
      <c r="R68" s="65">
        <v>0</v>
      </c>
      <c r="S68" s="39">
        <v>79480</v>
      </c>
      <c r="T68" s="65">
        <v>87330</v>
      </c>
      <c r="U68" s="65">
        <v>15499</v>
      </c>
      <c r="V68" s="65">
        <v>0</v>
      </c>
      <c r="W68" s="65">
        <v>0</v>
      </c>
      <c r="X68" s="39">
        <v>102829</v>
      </c>
      <c r="Y68" s="65">
        <v>75484</v>
      </c>
      <c r="Z68" s="65">
        <v>5571</v>
      </c>
      <c r="AA68" s="65">
        <v>0</v>
      </c>
      <c r="AB68" s="65">
        <v>0</v>
      </c>
      <c r="AC68" s="39">
        <v>81055</v>
      </c>
      <c r="AD68" s="65">
        <v>85469</v>
      </c>
      <c r="AE68" s="65">
        <v>10643</v>
      </c>
      <c r="AF68" s="65">
        <v>0</v>
      </c>
      <c r="AG68" s="65">
        <v>0</v>
      </c>
      <c r="AH68" s="39">
        <v>96112</v>
      </c>
      <c r="AI68" s="65">
        <v>81309</v>
      </c>
      <c r="AJ68" s="65">
        <v>3830</v>
      </c>
      <c r="AK68" s="65">
        <v>0</v>
      </c>
      <c r="AL68" s="65">
        <v>0</v>
      </c>
      <c r="AM68" s="39">
        <v>85139</v>
      </c>
      <c r="AN68" s="65">
        <v>80327</v>
      </c>
      <c r="AO68" s="65">
        <v>1763</v>
      </c>
      <c r="AP68" s="65">
        <v>0</v>
      </c>
      <c r="AQ68" s="65">
        <v>0</v>
      </c>
      <c r="AR68" s="39">
        <v>82090</v>
      </c>
      <c r="AS68" s="65">
        <v>84943</v>
      </c>
      <c r="AT68" s="65">
        <v>279</v>
      </c>
      <c r="AU68" s="65">
        <v>0</v>
      </c>
      <c r="AV68" s="65">
        <v>0</v>
      </c>
      <c r="AW68" s="39">
        <v>85222</v>
      </c>
      <c r="AX68" s="65">
        <v>78836</v>
      </c>
      <c r="AY68" s="65">
        <v>9051</v>
      </c>
      <c r="AZ68" s="65">
        <v>0</v>
      </c>
      <c r="BA68" s="65">
        <v>0</v>
      </c>
      <c r="BB68" s="39">
        <v>87887</v>
      </c>
      <c r="BC68" s="65">
        <v>77178</v>
      </c>
      <c r="BD68" s="65">
        <v>7809</v>
      </c>
      <c r="BE68" s="65">
        <v>0</v>
      </c>
      <c r="BF68" s="65">
        <v>0</v>
      </c>
      <c r="BG68" s="39">
        <v>84987</v>
      </c>
      <c r="BH68" s="65">
        <v>0</v>
      </c>
      <c r="BI68" s="65">
        <v>0</v>
      </c>
      <c r="BJ68" s="65">
        <v>0</v>
      </c>
      <c r="BK68" s="65">
        <v>0</v>
      </c>
      <c r="BL68" s="39">
        <v>0</v>
      </c>
      <c r="BM68" s="65">
        <v>0</v>
      </c>
      <c r="BN68" s="65">
        <v>0</v>
      </c>
      <c r="BO68" s="65">
        <v>0</v>
      </c>
      <c r="BP68" s="65">
        <v>0</v>
      </c>
      <c r="BQ68" s="39">
        <v>0</v>
      </c>
      <c r="BR68" s="65">
        <v>806671</v>
      </c>
      <c r="BS68" s="65">
        <v>61199</v>
      </c>
      <c r="BT68" s="65">
        <v>0</v>
      </c>
      <c r="BU68" s="65">
        <v>0</v>
      </c>
      <c r="BV68" s="39">
        <v>867870</v>
      </c>
      <c r="BW68" s="9"/>
      <c r="BX68" s="208"/>
      <c r="BZ68" s="228"/>
      <c r="CA68" s="265"/>
      <c r="CB68" s="230"/>
    </row>
    <row r="69" spans="1:80" x14ac:dyDescent="0.2">
      <c r="A69" s="238" t="s">
        <v>246</v>
      </c>
      <c r="B69" s="239"/>
      <c r="C69" s="219"/>
      <c r="D69" s="220"/>
      <c r="E69" s="65">
        <v>0</v>
      </c>
      <c r="F69" s="65">
        <v>10997</v>
      </c>
      <c r="G69" s="65">
        <v>0</v>
      </c>
      <c r="H69" s="65">
        <v>0</v>
      </c>
      <c r="I69" s="39">
        <v>10997</v>
      </c>
      <c r="J69" s="66">
        <v>0</v>
      </c>
      <c r="K69" s="65">
        <v>0</v>
      </c>
      <c r="L69" s="65">
        <v>0</v>
      </c>
      <c r="M69" s="65">
        <v>0</v>
      </c>
      <c r="N69" s="39">
        <v>0</v>
      </c>
      <c r="O69" s="65">
        <v>0</v>
      </c>
      <c r="P69" s="65">
        <v>0</v>
      </c>
      <c r="Q69" s="65">
        <v>0</v>
      </c>
      <c r="R69" s="65">
        <v>0</v>
      </c>
      <c r="S69" s="39">
        <v>0</v>
      </c>
      <c r="T69" s="65">
        <v>0</v>
      </c>
      <c r="U69" s="65">
        <v>0</v>
      </c>
      <c r="V69" s="65">
        <v>0</v>
      </c>
      <c r="W69" s="65">
        <v>0</v>
      </c>
      <c r="X69" s="39">
        <v>0</v>
      </c>
      <c r="Y69" s="65">
        <v>0</v>
      </c>
      <c r="Z69" s="65">
        <v>0</v>
      </c>
      <c r="AA69" s="65">
        <v>0</v>
      </c>
      <c r="AB69" s="65">
        <v>0</v>
      </c>
      <c r="AC69" s="39">
        <v>0</v>
      </c>
      <c r="AD69" s="65">
        <v>0</v>
      </c>
      <c r="AE69" s="65">
        <v>0</v>
      </c>
      <c r="AF69" s="65">
        <v>0</v>
      </c>
      <c r="AG69" s="65">
        <v>0</v>
      </c>
      <c r="AH69" s="39">
        <v>0</v>
      </c>
      <c r="AI69" s="65">
        <v>0</v>
      </c>
      <c r="AJ69" s="65">
        <v>0</v>
      </c>
      <c r="AK69" s="65">
        <v>0</v>
      </c>
      <c r="AL69" s="65">
        <v>0</v>
      </c>
      <c r="AM69" s="39">
        <v>0</v>
      </c>
      <c r="AN69" s="65">
        <v>0</v>
      </c>
      <c r="AO69" s="65">
        <v>0</v>
      </c>
      <c r="AP69" s="65">
        <v>0</v>
      </c>
      <c r="AQ69" s="65">
        <v>0</v>
      </c>
      <c r="AR69" s="39">
        <v>0</v>
      </c>
      <c r="AS69" s="65">
        <v>0</v>
      </c>
      <c r="AT69" s="65">
        <v>0</v>
      </c>
      <c r="AU69" s="65">
        <v>0</v>
      </c>
      <c r="AV69" s="65">
        <v>0</v>
      </c>
      <c r="AW69" s="39">
        <v>0</v>
      </c>
      <c r="AX69" s="65">
        <v>0</v>
      </c>
      <c r="AY69" s="65">
        <v>0</v>
      </c>
      <c r="AZ69" s="65">
        <v>0</v>
      </c>
      <c r="BA69" s="65">
        <v>0</v>
      </c>
      <c r="BB69" s="39">
        <v>0</v>
      </c>
      <c r="BC69" s="65">
        <v>0</v>
      </c>
      <c r="BD69" s="65">
        <v>0</v>
      </c>
      <c r="BE69" s="65">
        <v>0</v>
      </c>
      <c r="BF69" s="65">
        <v>0</v>
      </c>
      <c r="BG69" s="39">
        <v>0</v>
      </c>
      <c r="BH69" s="65">
        <v>0</v>
      </c>
      <c r="BI69" s="65">
        <v>0</v>
      </c>
      <c r="BJ69" s="65">
        <v>0</v>
      </c>
      <c r="BK69" s="65">
        <v>0</v>
      </c>
      <c r="BL69" s="39">
        <v>0</v>
      </c>
      <c r="BM69" s="65">
        <v>0</v>
      </c>
      <c r="BN69" s="65">
        <v>0</v>
      </c>
      <c r="BO69" s="65">
        <v>0</v>
      </c>
      <c r="BP69" s="65">
        <v>0</v>
      </c>
      <c r="BQ69" s="39">
        <v>0</v>
      </c>
      <c r="BR69" s="65">
        <v>0</v>
      </c>
      <c r="BS69" s="65">
        <v>0</v>
      </c>
      <c r="BT69" s="65">
        <v>0</v>
      </c>
      <c r="BU69" s="65">
        <v>0</v>
      </c>
      <c r="BV69" s="39">
        <v>0</v>
      </c>
      <c r="BW69" s="9"/>
      <c r="BX69" s="208"/>
      <c r="BZ69" s="174"/>
    </row>
    <row r="70" spans="1:80" x14ac:dyDescent="0.2">
      <c r="A70" s="199" t="s">
        <v>247</v>
      </c>
      <c r="B70" s="203"/>
      <c r="D70" s="225"/>
      <c r="E70" s="36">
        <v>236867517</v>
      </c>
      <c r="F70" s="35">
        <v>545254368</v>
      </c>
      <c r="G70" s="35">
        <v>0</v>
      </c>
      <c r="H70" s="35">
        <v>395376</v>
      </c>
      <c r="I70" s="240">
        <v>782517261</v>
      </c>
      <c r="J70" s="241">
        <v>4458960.4269999983</v>
      </c>
      <c r="K70" s="242">
        <v>46627921</v>
      </c>
      <c r="L70" s="242">
        <v>0</v>
      </c>
      <c r="M70" s="242">
        <v>18</v>
      </c>
      <c r="N70" s="240">
        <v>51086899.427000001</v>
      </c>
      <c r="O70" s="242">
        <v>2045938.1300000001</v>
      </c>
      <c r="P70" s="242">
        <v>46322877</v>
      </c>
      <c r="Q70" s="242">
        <v>0</v>
      </c>
      <c r="R70" s="242">
        <v>111334</v>
      </c>
      <c r="S70" s="240">
        <v>48480149.129999995</v>
      </c>
      <c r="T70" s="241">
        <v>23587962</v>
      </c>
      <c r="U70" s="242">
        <v>46049838</v>
      </c>
      <c r="V70" s="242">
        <v>0</v>
      </c>
      <c r="W70" s="242">
        <v>2</v>
      </c>
      <c r="X70" s="240">
        <v>69637802</v>
      </c>
      <c r="Y70" s="241">
        <v>34084402</v>
      </c>
      <c r="Z70" s="242">
        <v>44935658</v>
      </c>
      <c r="AA70" s="242">
        <v>0</v>
      </c>
      <c r="AB70" s="242">
        <v>0</v>
      </c>
      <c r="AC70" s="240">
        <v>79020060</v>
      </c>
      <c r="AD70" s="241">
        <v>32891479.123</v>
      </c>
      <c r="AE70" s="242">
        <v>49652461</v>
      </c>
      <c r="AF70" s="242">
        <v>0</v>
      </c>
      <c r="AG70" s="242">
        <v>1</v>
      </c>
      <c r="AH70" s="241">
        <v>82543941.122999996</v>
      </c>
      <c r="AI70" s="241">
        <v>21020357.242999993</v>
      </c>
      <c r="AJ70" s="242">
        <v>44987051</v>
      </c>
      <c r="AK70" s="242">
        <v>0</v>
      </c>
      <c r="AL70" s="242">
        <v>6855688</v>
      </c>
      <c r="AM70" s="241">
        <v>72863096.243000001</v>
      </c>
      <c r="AN70" s="241">
        <v>3891478.963</v>
      </c>
      <c r="AO70" s="242">
        <v>45045745</v>
      </c>
      <c r="AP70" s="242">
        <v>0</v>
      </c>
      <c r="AQ70" s="243">
        <v>260</v>
      </c>
      <c r="AR70" s="241">
        <v>48937483.963</v>
      </c>
      <c r="AS70" s="242">
        <v>2545556.0049999994</v>
      </c>
      <c r="AT70" s="242">
        <v>46338044</v>
      </c>
      <c r="AU70" s="242">
        <v>0</v>
      </c>
      <c r="AV70" s="242">
        <v>0</v>
      </c>
      <c r="AW70" s="241">
        <v>48883600.004999995</v>
      </c>
      <c r="AX70" s="242">
        <v>23803257</v>
      </c>
      <c r="AY70" s="242">
        <v>51045662</v>
      </c>
      <c r="AZ70" s="242">
        <v>0</v>
      </c>
      <c r="BA70" s="242">
        <v>-6571665</v>
      </c>
      <c r="BB70" s="240">
        <v>68277254</v>
      </c>
      <c r="BC70" s="242">
        <v>33985624.236999996</v>
      </c>
      <c r="BD70" s="242">
        <v>40633218</v>
      </c>
      <c r="BE70" s="242">
        <v>0</v>
      </c>
      <c r="BF70" s="242">
        <v>8</v>
      </c>
      <c r="BG70" s="240">
        <v>74618850.236999989</v>
      </c>
      <c r="BH70" s="242">
        <v>0</v>
      </c>
      <c r="BI70" s="242">
        <v>0</v>
      </c>
      <c r="BJ70" s="242">
        <v>0</v>
      </c>
      <c r="BK70" s="242">
        <v>0</v>
      </c>
      <c r="BL70" s="240">
        <v>0</v>
      </c>
      <c r="BM70" s="242">
        <v>0</v>
      </c>
      <c r="BN70" s="242">
        <v>0</v>
      </c>
      <c r="BO70" s="242">
        <v>0</v>
      </c>
      <c r="BP70" s="242">
        <v>0</v>
      </c>
      <c r="BQ70" s="240">
        <v>0</v>
      </c>
      <c r="BR70" s="241">
        <v>182315015.12799999</v>
      </c>
      <c r="BS70" s="242">
        <v>461638475</v>
      </c>
      <c r="BT70" s="242">
        <v>0</v>
      </c>
      <c r="BU70" s="242">
        <v>395646</v>
      </c>
      <c r="BV70" s="244">
        <v>644349136.12800002</v>
      </c>
      <c r="BW70" s="10"/>
      <c r="BX70" s="208"/>
    </row>
    <row r="71" spans="1:80" x14ac:dyDescent="0.2">
      <c r="A71" s="245" t="s">
        <v>179</v>
      </c>
      <c r="B71" s="246"/>
      <c r="C71" s="247"/>
      <c r="D71" s="248"/>
      <c r="E71" s="249">
        <v>491355682</v>
      </c>
      <c r="F71" s="249">
        <v>1213632781</v>
      </c>
      <c r="G71" s="249">
        <v>14835462</v>
      </c>
      <c r="H71" s="249">
        <v>88043073</v>
      </c>
      <c r="I71" s="250">
        <v>1807866998</v>
      </c>
      <c r="J71" s="251">
        <v>22081532.426999997</v>
      </c>
      <c r="K71" s="251">
        <v>91841244</v>
      </c>
      <c r="L71" s="251">
        <v>324568</v>
      </c>
      <c r="M71" s="251">
        <v>4853</v>
      </c>
      <c r="N71" s="252">
        <v>114252197.427</v>
      </c>
      <c r="O71" s="249">
        <v>21313327.129999999</v>
      </c>
      <c r="P71" s="249">
        <v>97185042</v>
      </c>
      <c r="Q71" s="249">
        <v>861947</v>
      </c>
      <c r="R71" s="249">
        <v>1115210</v>
      </c>
      <c r="S71" s="252">
        <v>120475526.13</v>
      </c>
      <c r="T71" s="249">
        <v>42064414</v>
      </c>
      <c r="U71" s="249">
        <v>88294246</v>
      </c>
      <c r="V71" s="249">
        <v>15761</v>
      </c>
      <c r="W71" s="249">
        <v>475863</v>
      </c>
      <c r="X71" s="252">
        <v>130850284</v>
      </c>
      <c r="Y71" s="251">
        <v>52873403</v>
      </c>
      <c r="Z71" s="251">
        <v>140177743</v>
      </c>
      <c r="AA71" s="251">
        <v>518145</v>
      </c>
      <c r="AB71" s="251">
        <v>3806670</v>
      </c>
      <c r="AC71" s="252">
        <v>197375961</v>
      </c>
      <c r="AD71" s="251">
        <v>52348326.122999996</v>
      </c>
      <c r="AE71" s="251">
        <v>107273151</v>
      </c>
      <c r="AF71" s="251">
        <v>905002</v>
      </c>
      <c r="AG71" s="251">
        <v>5002463</v>
      </c>
      <c r="AH71" s="252">
        <v>165528942.123</v>
      </c>
      <c r="AI71" s="251">
        <v>40737320.242999993</v>
      </c>
      <c r="AJ71" s="251">
        <v>97067140</v>
      </c>
      <c r="AK71" s="251">
        <v>867648</v>
      </c>
      <c r="AL71" s="251">
        <v>9873949</v>
      </c>
      <c r="AM71" s="250">
        <v>148546057.243</v>
      </c>
      <c r="AN71" s="251">
        <v>24371761.963</v>
      </c>
      <c r="AO71" s="251">
        <v>105316823</v>
      </c>
      <c r="AP71" s="251">
        <v>1268269</v>
      </c>
      <c r="AQ71" s="251">
        <v>2002991</v>
      </c>
      <c r="AR71" s="250">
        <v>132959844.963</v>
      </c>
      <c r="AS71" s="251">
        <v>22685857.004999999</v>
      </c>
      <c r="AT71" s="251">
        <v>93267975</v>
      </c>
      <c r="AU71" s="251">
        <v>886111</v>
      </c>
      <c r="AV71" s="251">
        <v>3781537</v>
      </c>
      <c r="AW71" s="250">
        <v>120621480.005</v>
      </c>
      <c r="AX71" s="251">
        <v>43789410</v>
      </c>
      <c r="AY71" s="251">
        <v>116638516</v>
      </c>
      <c r="AZ71" s="251">
        <v>775078</v>
      </c>
      <c r="BA71" s="251">
        <v>10116371</v>
      </c>
      <c r="BB71" s="252">
        <v>171319375</v>
      </c>
      <c r="BC71" s="251">
        <v>52379477.236999996</v>
      </c>
      <c r="BD71" s="251">
        <v>80461364</v>
      </c>
      <c r="BE71" s="251">
        <v>568295</v>
      </c>
      <c r="BF71" s="251">
        <v>30302684</v>
      </c>
      <c r="BG71" s="252">
        <v>163711820.23699999</v>
      </c>
      <c r="BH71" s="251">
        <v>0</v>
      </c>
      <c r="BI71" s="251">
        <v>0</v>
      </c>
      <c r="BJ71" s="251">
        <v>0</v>
      </c>
      <c r="BK71" s="251">
        <v>0</v>
      </c>
      <c r="BL71" s="252">
        <v>0</v>
      </c>
      <c r="BM71" s="251">
        <v>0</v>
      </c>
      <c r="BN71" s="251">
        <v>0</v>
      </c>
      <c r="BO71" s="251">
        <v>0</v>
      </c>
      <c r="BP71" s="251">
        <v>0</v>
      </c>
      <c r="BQ71" s="252">
        <v>0</v>
      </c>
      <c r="BR71" s="251">
        <v>374644829.12800002</v>
      </c>
      <c r="BS71" s="251">
        <v>1017523244</v>
      </c>
      <c r="BT71" s="251">
        <v>6990824</v>
      </c>
      <c r="BU71" s="251">
        <v>66482591</v>
      </c>
      <c r="BV71" s="253">
        <v>1465641488.128</v>
      </c>
      <c r="BW71" s="10"/>
      <c r="BX71" s="208"/>
    </row>
    <row r="72" spans="1:80" hidden="1" x14ac:dyDescent="0.2">
      <c r="A72" s="223"/>
      <c r="B72" s="203"/>
      <c r="D72" s="221"/>
      <c r="E72" s="43"/>
      <c r="F72" s="43"/>
      <c r="G72" s="43"/>
      <c r="H72" s="43"/>
      <c r="I72" s="139"/>
      <c r="J72" s="43"/>
      <c r="K72" s="43"/>
      <c r="L72" s="43"/>
      <c r="M72" s="43"/>
      <c r="N72" s="39"/>
      <c r="O72" s="43"/>
      <c r="P72" s="43"/>
      <c r="Q72" s="43"/>
      <c r="R72" s="43"/>
      <c r="S72" s="39"/>
      <c r="T72" s="43"/>
      <c r="U72" s="43"/>
      <c r="V72" s="43"/>
      <c r="W72" s="43"/>
      <c r="X72" s="39"/>
      <c r="Y72" s="43"/>
      <c r="Z72" s="43"/>
      <c r="AA72" s="43"/>
      <c r="AB72" s="43"/>
      <c r="AC72" s="39"/>
      <c r="AD72" s="43"/>
      <c r="AE72" s="43"/>
      <c r="AF72" s="43"/>
      <c r="AG72" s="43"/>
      <c r="AH72" s="39"/>
      <c r="AI72" s="43"/>
      <c r="AJ72" s="43"/>
      <c r="AK72" s="43"/>
      <c r="AL72" s="43"/>
      <c r="AM72" s="139"/>
      <c r="AN72" s="43"/>
      <c r="AO72" s="43"/>
      <c r="AP72" s="43"/>
      <c r="AQ72" s="43"/>
      <c r="AR72" s="139"/>
      <c r="AS72" s="43"/>
      <c r="AT72" s="43"/>
      <c r="AU72" s="43"/>
      <c r="AV72" s="43"/>
      <c r="AW72" s="39"/>
      <c r="AX72" s="43"/>
      <c r="AY72" s="43"/>
      <c r="AZ72" s="43"/>
      <c r="BA72" s="43"/>
      <c r="BB72" s="39"/>
      <c r="BC72" s="43"/>
      <c r="BD72" s="43"/>
      <c r="BE72" s="43"/>
      <c r="BF72" s="43"/>
      <c r="BG72" s="39"/>
      <c r="BH72" s="43"/>
      <c r="BI72" s="43"/>
      <c r="BJ72" s="43"/>
      <c r="BK72" s="43"/>
      <c r="BL72" s="39"/>
      <c r="BM72" s="43"/>
      <c r="BN72" s="43"/>
      <c r="BO72" s="43"/>
      <c r="BP72" s="43"/>
      <c r="BQ72" s="39"/>
      <c r="BR72" s="43"/>
      <c r="BS72" s="43"/>
      <c r="BT72" s="43"/>
      <c r="BU72" s="43"/>
      <c r="BV72" s="254"/>
      <c r="BW72" s="1"/>
      <c r="BX72" s="208"/>
    </row>
    <row r="73" spans="1:80" x14ac:dyDescent="0.2">
      <c r="A73" s="223" t="s">
        <v>248</v>
      </c>
      <c r="B73" s="203"/>
      <c r="D73" s="225"/>
      <c r="E73" s="43">
        <v>0</v>
      </c>
      <c r="F73" s="43">
        <v>0</v>
      </c>
      <c r="G73" s="43">
        <v>0</v>
      </c>
      <c r="H73" s="43">
        <v>0</v>
      </c>
      <c r="I73" s="39">
        <v>-2108558</v>
      </c>
      <c r="J73" s="43">
        <v>0</v>
      </c>
      <c r="K73" s="43">
        <v>0</v>
      </c>
      <c r="L73" s="43">
        <v>0</v>
      </c>
      <c r="M73" s="43">
        <v>0</v>
      </c>
      <c r="N73" s="39">
        <v>0</v>
      </c>
      <c r="O73" s="43">
        <v>0</v>
      </c>
      <c r="P73" s="43">
        <v>0</v>
      </c>
      <c r="Q73" s="43">
        <v>0</v>
      </c>
      <c r="R73" s="43">
        <v>0</v>
      </c>
      <c r="S73" s="39">
        <v>0</v>
      </c>
      <c r="T73" s="43">
        <v>0</v>
      </c>
      <c r="U73" s="43">
        <v>0</v>
      </c>
      <c r="V73" s="43">
        <v>0</v>
      </c>
      <c r="W73" s="43">
        <v>0</v>
      </c>
      <c r="X73" s="39">
        <v>0</v>
      </c>
      <c r="Y73" s="43">
        <v>0</v>
      </c>
      <c r="Z73" s="43">
        <v>0</v>
      </c>
      <c r="AA73" s="43">
        <v>0</v>
      </c>
      <c r="AB73" s="43">
        <v>0</v>
      </c>
      <c r="AC73" s="39">
        <v>0</v>
      </c>
      <c r="AD73" s="43">
        <v>0</v>
      </c>
      <c r="AE73" s="43">
        <v>0</v>
      </c>
      <c r="AF73" s="43">
        <v>0</v>
      </c>
      <c r="AG73" s="43">
        <v>0</v>
      </c>
      <c r="AH73" s="39">
        <v>0</v>
      </c>
      <c r="AI73" s="43">
        <v>0</v>
      </c>
      <c r="AJ73" s="43">
        <v>0</v>
      </c>
      <c r="AK73" s="43">
        <v>0</v>
      </c>
      <c r="AL73" s="43">
        <v>0</v>
      </c>
      <c r="AM73" s="39">
        <v>0</v>
      </c>
      <c r="AN73" s="43">
        <v>0</v>
      </c>
      <c r="AO73" s="43">
        <v>0</v>
      </c>
      <c r="AP73" s="43">
        <v>0</v>
      </c>
      <c r="AQ73" s="43">
        <v>0</v>
      </c>
      <c r="AR73" s="39">
        <v>0</v>
      </c>
      <c r="AS73" s="43">
        <v>0</v>
      </c>
      <c r="AT73" s="43">
        <v>0</v>
      </c>
      <c r="AU73" s="43">
        <v>0</v>
      </c>
      <c r="AV73" s="43">
        <v>0</v>
      </c>
      <c r="AW73" s="39">
        <v>0</v>
      </c>
      <c r="AX73" s="43">
        <v>0</v>
      </c>
      <c r="AY73" s="43">
        <v>0</v>
      </c>
      <c r="AZ73" s="43">
        <v>0</v>
      </c>
      <c r="BA73" s="43">
        <v>0</v>
      </c>
      <c r="BB73" s="39">
        <v>0</v>
      </c>
      <c r="BC73" s="43">
        <v>0</v>
      </c>
      <c r="BD73" s="43">
        <v>0</v>
      </c>
      <c r="BE73" s="43">
        <v>0</v>
      </c>
      <c r="BF73" s="43">
        <v>0</v>
      </c>
      <c r="BG73" s="39">
        <v>0</v>
      </c>
      <c r="BH73" s="43"/>
      <c r="BI73" s="43"/>
      <c r="BJ73" s="43"/>
      <c r="BK73" s="43"/>
      <c r="BL73" s="39"/>
      <c r="BM73" s="43"/>
      <c r="BN73" s="43"/>
      <c r="BO73" s="43"/>
      <c r="BP73" s="43"/>
      <c r="BQ73" s="39"/>
      <c r="BR73" s="43">
        <v>0</v>
      </c>
      <c r="BS73" s="43">
        <v>0</v>
      </c>
      <c r="BT73" s="43">
        <v>0</v>
      </c>
      <c r="BU73" s="43">
        <v>0</v>
      </c>
      <c r="BV73" s="40">
        <v>0</v>
      </c>
      <c r="BW73" s="1"/>
      <c r="BX73" s="208"/>
    </row>
    <row r="74" spans="1:80" x14ac:dyDescent="0.2">
      <c r="A74" s="255" t="s">
        <v>249</v>
      </c>
      <c r="B74" s="256"/>
      <c r="C74" s="257"/>
      <c r="D74" s="258"/>
      <c r="E74" s="242">
        <v>491355682</v>
      </c>
      <c r="F74" s="242">
        <v>1213632781</v>
      </c>
      <c r="G74" s="242">
        <v>14835462</v>
      </c>
      <c r="H74" s="242">
        <v>88043073</v>
      </c>
      <c r="I74" s="240">
        <v>1805758440</v>
      </c>
      <c r="J74" s="242">
        <v>22081532.426999997</v>
      </c>
      <c r="K74" s="242">
        <v>91841244</v>
      </c>
      <c r="L74" s="242">
        <v>324568</v>
      </c>
      <c r="M74" s="242">
        <v>4853</v>
      </c>
      <c r="N74" s="240">
        <v>114252197.427</v>
      </c>
      <c r="O74" s="242">
        <v>21313327.129999999</v>
      </c>
      <c r="P74" s="242">
        <v>97185042</v>
      </c>
      <c r="Q74" s="242">
        <v>861947</v>
      </c>
      <c r="R74" s="242">
        <v>1115210</v>
      </c>
      <c r="S74" s="240">
        <v>120475526.13</v>
      </c>
      <c r="T74" s="242">
        <v>42064414</v>
      </c>
      <c r="U74" s="242">
        <v>88294246</v>
      </c>
      <c r="V74" s="242">
        <v>15761</v>
      </c>
      <c r="W74" s="242">
        <v>475863</v>
      </c>
      <c r="X74" s="240">
        <v>130850284</v>
      </c>
      <c r="Y74" s="242">
        <v>52873403</v>
      </c>
      <c r="Z74" s="242">
        <v>140177743</v>
      </c>
      <c r="AA74" s="242">
        <v>518145</v>
      </c>
      <c r="AB74" s="242">
        <v>3806670</v>
      </c>
      <c r="AC74" s="240">
        <v>197375961</v>
      </c>
      <c r="AD74" s="242">
        <v>52348326.122999996</v>
      </c>
      <c r="AE74" s="242">
        <v>107273151</v>
      </c>
      <c r="AF74" s="242">
        <v>905002</v>
      </c>
      <c r="AG74" s="242">
        <v>5002463</v>
      </c>
      <c r="AH74" s="240">
        <v>165528942.123</v>
      </c>
      <c r="AI74" s="242">
        <v>40737320.242999993</v>
      </c>
      <c r="AJ74" s="242">
        <v>97067140</v>
      </c>
      <c r="AK74" s="242">
        <v>867648</v>
      </c>
      <c r="AL74" s="242">
        <v>9873949</v>
      </c>
      <c r="AM74" s="240">
        <v>148546057.243</v>
      </c>
      <c r="AN74" s="242">
        <v>24371761.963</v>
      </c>
      <c r="AO74" s="242">
        <v>105316823</v>
      </c>
      <c r="AP74" s="242">
        <v>1268269</v>
      </c>
      <c r="AQ74" s="242">
        <v>2002991</v>
      </c>
      <c r="AR74" s="240">
        <v>132959844.963</v>
      </c>
      <c r="AS74" s="242">
        <v>22685857.004999999</v>
      </c>
      <c r="AT74" s="242">
        <v>93267975</v>
      </c>
      <c r="AU74" s="242">
        <v>886111</v>
      </c>
      <c r="AV74" s="242">
        <v>3781537</v>
      </c>
      <c r="AW74" s="240">
        <v>120621480.005</v>
      </c>
      <c r="AX74" s="242">
        <v>43789410</v>
      </c>
      <c r="AY74" s="242">
        <v>116638516</v>
      </c>
      <c r="AZ74" s="242">
        <v>775078</v>
      </c>
      <c r="BA74" s="242">
        <v>10116371</v>
      </c>
      <c r="BB74" s="240">
        <v>171319375</v>
      </c>
      <c r="BC74" s="242">
        <v>52379477.236999996</v>
      </c>
      <c r="BD74" s="242">
        <v>80461364</v>
      </c>
      <c r="BE74" s="242">
        <v>568295</v>
      </c>
      <c r="BF74" s="242">
        <v>30302684</v>
      </c>
      <c r="BG74" s="240">
        <v>163711820.23699999</v>
      </c>
      <c r="BH74" s="242">
        <v>0</v>
      </c>
      <c r="BI74" s="242">
        <v>0</v>
      </c>
      <c r="BJ74" s="242">
        <v>0</v>
      </c>
      <c r="BK74" s="242">
        <v>0</v>
      </c>
      <c r="BL74" s="240">
        <v>0</v>
      </c>
      <c r="BM74" s="242">
        <v>0</v>
      </c>
      <c r="BN74" s="242">
        <v>0</v>
      </c>
      <c r="BO74" s="242">
        <v>0</v>
      </c>
      <c r="BP74" s="242">
        <v>0</v>
      </c>
      <c r="BQ74" s="240">
        <v>0</v>
      </c>
      <c r="BR74" s="242">
        <v>374644829.12800002</v>
      </c>
      <c r="BS74" s="242">
        <v>1017523244</v>
      </c>
      <c r="BT74" s="242">
        <v>6990824</v>
      </c>
      <c r="BU74" s="242">
        <v>66482591</v>
      </c>
      <c r="BV74" s="244">
        <v>1465641488.128</v>
      </c>
      <c r="BW74" s="259"/>
      <c r="BX74" s="208"/>
    </row>
    <row r="75" spans="1:80" x14ac:dyDescent="0.2">
      <c r="A75" s="233" t="s">
        <v>250</v>
      </c>
      <c r="B75" s="260"/>
      <c r="C75" s="260"/>
      <c r="D75" s="260"/>
      <c r="E75" s="260"/>
      <c r="F75" s="260"/>
      <c r="G75" s="260"/>
      <c r="H75" s="260"/>
      <c r="I75" s="61"/>
      <c r="J75" s="224"/>
      <c r="K75" s="224"/>
      <c r="L75" s="224"/>
      <c r="M75" s="224"/>
      <c r="N75" s="224"/>
      <c r="O75" s="224"/>
      <c r="P75" s="224"/>
      <c r="Q75" s="224"/>
      <c r="R75" s="224"/>
      <c r="S75" s="224"/>
      <c r="T75" s="224"/>
      <c r="U75" s="224"/>
      <c r="V75" s="224"/>
      <c r="W75" s="224"/>
      <c r="X75" s="224"/>
      <c r="Y75" s="224"/>
      <c r="Z75" s="224"/>
      <c r="AA75" s="224"/>
      <c r="AB75" s="224"/>
      <c r="AC75" s="224"/>
      <c r="AD75" s="224"/>
      <c r="AE75" s="224"/>
      <c r="AF75" s="224"/>
      <c r="AG75" s="224"/>
      <c r="AH75" s="224"/>
      <c r="AI75" s="224"/>
      <c r="AK75" s="224"/>
      <c r="AL75" s="224"/>
      <c r="AM75" s="224"/>
      <c r="AN75" s="224"/>
      <c r="AO75" s="224"/>
      <c r="AP75" s="224"/>
      <c r="AQ75" s="224"/>
      <c r="AR75" s="224"/>
      <c r="AS75" s="224"/>
      <c r="AT75" s="224"/>
      <c r="AU75" s="224"/>
      <c r="AV75" s="224"/>
      <c r="AW75" s="224"/>
      <c r="AX75" s="224"/>
      <c r="AY75" s="224"/>
      <c r="AZ75" s="224"/>
      <c r="BA75" s="224"/>
      <c r="BB75" s="224"/>
      <c r="BC75" s="224"/>
      <c r="BD75" s="224"/>
      <c r="BE75" s="224"/>
      <c r="BF75" s="224"/>
      <c r="BG75" s="224"/>
      <c r="BH75" s="224"/>
      <c r="BI75" s="224"/>
      <c r="BJ75" s="224"/>
      <c r="BK75" s="224"/>
      <c r="BL75" s="224"/>
      <c r="BM75" s="224"/>
      <c r="BN75" s="224"/>
      <c r="BO75" s="224"/>
      <c r="BP75" s="224"/>
      <c r="BQ75" s="224"/>
      <c r="BR75" s="224"/>
      <c r="BS75" s="224"/>
      <c r="BT75" s="224"/>
      <c r="BU75" s="224"/>
      <c r="BV75" s="224"/>
      <c r="BX75" s="208"/>
    </row>
    <row r="76" spans="1:80" x14ac:dyDescent="0.2">
      <c r="A76" s="233" t="s">
        <v>251</v>
      </c>
      <c r="B76" s="260"/>
      <c r="C76" s="260"/>
      <c r="D76" s="260"/>
      <c r="E76" s="260"/>
      <c r="F76" s="260"/>
      <c r="G76" s="260"/>
      <c r="H76" s="260"/>
      <c r="I76" s="61"/>
      <c r="J76" s="224"/>
      <c r="K76" s="224"/>
      <c r="L76" s="224"/>
      <c r="M76" s="224"/>
      <c r="N76" s="224"/>
      <c r="O76" s="224"/>
      <c r="P76" s="224"/>
      <c r="Q76" s="224"/>
      <c r="R76" s="224"/>
      <c r="S76" s="224"/>
      <c r="T76" s="224"/>
      <c r="U76" s="224"/>
      <c r="V76" s="224"/>
      <c r="W76" s="224"/>
      <c r="X76" s="224"/>
      <c r="Y76" s="224"/>
      <c r="Z76" s="224"/>
      <c r="AA76" s="224"/>
      <c r="AB76" s="224"/>
      <c r="AC76" s="224"/>
      <c r="AD76" s="224"/>
      <c r="AE76" s="224"/>
      <c r="AF76" s="224"/>
      <c r="AG76" s="224"/>
      <c r="AH76" s="224"/>
      <c r="AI76" s="224"/>
      <c r="AK76" s="224"/>
      <c r="AL76" s="224"/>
      <c r="AM76" s="224"/>
      <c r="AN76" s="224"/>
      <c r="AO76" s="224"/>
      <c r="AP76" s="224"/>
      <c r="AQ76" s="224"/>
      <c r="AR76" s="224"/>
      <c r="AS76" s="224"/>
      <c r="AT76" s="224"/>
      <c r="AU76" s="224"/>
      <c r="AV76" s="224"/>
      <c r="AW76" s="224"/>
      <c r="AX76" s="224"/>
      <c r="AY76" s="224"/>
      <c r="AZ76" s="224"/>
      <c r="BA76" s="224"/>
      <c r="BB76" s="224"/>
      <c r="BC76" s="224"/>
      <c r="BD76" s="224"/>
      <c r="BE76" s="224"/>
      <c r="BF76" s="224"/>
      <c r="BG76" s="224"/>
      <c r="BH76" s="224"/>
      <c r="BI76" s="224"/>
      <c r="BJ76" s="224"/>
      <c r="BK76" s="224"/>
      <c r="BL76" s="224"/>
      <c r="BM76" s="224"/>
      <c r="BN76" s="224"/>
      <c r="BO76" s="224"/>
      <c r="BP76" s="224"/>
      <c r="BQ76" s="224"/>
      <c r="BR76" s="224"/>
      <c r="BS76" s="224"/>
      <c r="BT76" s="224"/>
      <c r="BU76" s="224"/>
      <c r="BV76" s="224"/>
      <c r="BX76" s="208"/>
    </row>
    <row r="77" spans="1:80" x14ac:dyDescent="0.2">
      <c r="A77" s="233" t="s">
        <v>252</v>
      </c>
      <c r="B77" s="260"/>
      <c r="C77" s="260"/>
      <c r="D77" s="260"/>
      <c r="E77" s="260"/>
      <c r="F77" s="260"/>
      <c r="G77" s="260"/>
      <c r="H77" s="260"/>
      <c r="I77" s="61"/>
      <c r="J77" s="224"/>
      <c r="K77" s="224"/>
      <c r="L77" s="224"/>
      <c r="M77" s="224"/>
      <c r="N77" s="224"/>
      <c r="O77" s="224"/>
      <c r="P77" s="224"/>
      <c r="Q77" s="224"/>
      <c r="R77" s="224"/>
      <c r="S77" s="224"/>
      <c r="T77" s="224"/>
      <c r="U77" s="224"/>
      <c r="V77" s="224"/>
      <c r="W77" s="224"/>
      <c r="X77" s="224"/>
      <c r="Y77" s="224"/>
      <c r="Z77" s="224"/>
      <c r="AA77" s="224"/>
      <c r="AB77" s="224"/>
      <c r="AC77" s="224"/>
      <c r="AD77" s="224"/>
      <c r="AE77" s="224"/>
      <c r="AF77" s="224"/>
      <c r="AG77" s="224"/>
      <c r="AH77" s="224"/>
      <c r="AI77" s="224"/>
      <c r="AK77" s="224"/>
      <c r="AL77" s="224"/>
      <c r="AM77" s="224"/>
      <c r="AN77" s="224"/>
      <c r="AO77" s="224"/>
      <c r="AP77" s="224"/>
      <c r="AQ77" s="224"/>
      <c r="AR77" s="224"/>
      <c r="AS77" s="224"/>
      <c r="AT77" s="224"/>
      <c r="AU77" s="224"/>
      <c r="AV77" s="224"/>
      <c r="AW77" s="224"/>
      <c r="AX77" s="224"/>
      <c r="AY77" s="224"/>
      <c r="AZ77" s="224"/>
      <c r="BA77" s="224"/>
      <c r="BB77" s="224"/>
      <c r="BC77" s="224"/>
      <c r="BD77" s="224"/>
      <c r="BE77" s="224"/>
      <c r="BF77" s="224"/>
      <c r="BG77" s="224"/>
      <c r="BH77" s="224"/>
      <c r="BI77" s="224"/>
      <c r="BJ77" s="224"/>
      <c r="BK77" s="224"/>
      <c r="BL77" s="224"/>
      <c r="BM77" s="224"/>
      <c r="BN77" s="224"/>
      <c r="BO77" s="224"/>
      <c r="BP77" s="224"/>
      <c r="BQ77" s="224"/>
      <c r="BR77" s="224"/>
      <c r="BS77" s="224"/>
      <c r="BT77" s="224"/>
      <c r="BU77" s="224"/>
      <c r="BV77" s="224"/>
      <c r="BX77" s="208"/>
    </row>
    <row r="78" spans="1:80" x14ac:dyDescent="0.2">
      <c r="A78" s="233" t="s">
        <v>253</v>
      </c>
      <c r="B78" s="260"/>
      <c r="C78" s="260"/>
      <c r="D78" s="260"/>
      <c r="E78" s="260"/>
      <c r="F78" s="260"/>
      <c r="G78" s="260"/>
      <c r="H78" s="260"/>
      <c r="I78" s="61"/>
      <c r="J78" s="224"/>
      <c r="K78" s="224"/>
      <c r="L78" s="224"/>
      <c r="M78" s="224"/>
      <c r="N78" s="224"/>
      <c r="O78" s="224"/>
      <c r="P78" s="224"/>
      <c r="Q78" s="224"/>
      <c r="R78" s="224"/>
      <c r="S78" s="224"/>
      <c r="T78" s="224"/>
      <c r="U78" s="224"/>
      <c r="V78" s="224"/>
      <c r="W78" s="224"/>
      <c r="X78" s="224"/>
      <c r="Y78" s="224"/>
      <c r="Z78" s="224"/>
      <c r="AA78" s="224"/>
      <c r="AB78" s="224"/>
      <c r="AC78" s="224"/>
      <c r="AD78" s="224"/>
      <c r="AE78" s="224"/>
      <c r="AF78" s="224"/>
      <c r="AG78" s="224"/>
      <c r="AH78" s="224"/>
      <c r="AI78" s="224"/>
      <c r="AK78" s="224"/>
      <c r="AL78" s="224"/>
      <c r="AM78" s="224"/>
      <c r="AN78" s="224"/>
      <c r="AO78" s="224"/>
      <c r="AP78" s="224"/>
      <c r="AQ78" s="224"/>
      <c r="AR78" s="224"/>
      <c r="AS78" s="224"/>
      <c r="AT78" s="224"/>
      <c r="AU78" s="224"/>
      <c r="AV78" s="224"/>
      <c r="AW78" s="224"/>
      <c r="AX78" s="224"/>
      <c r="AY78" s="224"/>
      <c r="AZ78" s="224"/>
      <c r="BA78" s="224"/>
      <c r="BB78" s="224"/>
      <c r="BC78" s="224"/>
      <c r="BD78" s="224"/>
      <c r="BE78" s="224"/>
      <c r="BF78" s="224"/>
      <c r="BG78" s="224"/>
      <c r="BH78" s="224"/>
      <c r="BI78" s="224"/>
      <c r="BJ78" s="224"/>
      <c r="BK78" s="224"/>
      <c r="BL78" s="224"/>
      <c r="BM78" s="224"/>
      <c r="BN78" s="224"/>
      <c r="BO78" s="224"/>
      <c r="BP78" s="224"/>
      <c r="BQ78" s="224"/>
      <c r="BR78" s="224"/>
      <c r="BS78" s="224"/>
      <c r="BT78" s="224"/>
      <c r="BU78" s="224"/>
      <c r="BV78" s="224"/>
      <c r="BX78" s="208"/>
    </row>
    <row r="79" spans="1:80" hidden="1" x14ac:dyDescent="0.2">
      <c r="A79" s="233" t="s">
        <v>254</v>
      </c>
      <c r="B79" s="260"/>
      <c r="C79" s="260"/>
      <c r="D79" s="260"/>
      <c r="E79" s="260"/>
      <c r="F79" s="260"/>
      <c r="G79" s="260"/>
      <c r="H79" s="260"/>
      <c r="I79" s="61"/>
      <c r="J79" s="224"/>
      <c r="K79" s="224"/>
      <c r="L79" s="224"/>
      <c r="M79" s="224"/>
      <c r="N79" s="224"/>
      <c r="O79" s="224"/>
      <c r="P79" s="224"/>
      <c r="Q79" s="224"/>
      <c r="R79" s="224"/>
      <c r="S79" s="224"/>
      <c r="T79" s="224"/>
      <c r="U79" s="224"/>
      <c r="V79" s="224"/>
      <c r="W79" s="224"/>
      <c r="X79" s="224"/>
      <c r="Y79" s="224"/>
      <c r="Z79" s="224"/>
      <c r="AA79" s="224"/>
      <c r="AB79" s="224"/>
      <c r="AC79" s="224"/>
      <c r="AD79" s="224"/>
      <c r="AE79" s="224"/>
      <c r="AF79" s="224"/>
      <c r="AG79" s="224"/>
      <c r="AH79" s="224"/>
      <c r="AI79" s="224"/>
      <c r="AK79" s="224"/>
      <c r="AL79" s="224"/>
      <c r="AM79" s="224"/>
      <c r="AN79" s="224"/>
      <c r="AO79" s="224"/>
      <c r="AP79" s="224"/>
      <c r="AQ79" s="224"/>
      <c r="AR79" s="224"/>
      <c r="AS79" s="224"/>
      <c r="AT79" s="224"/>
      <c r="AU79" s="224"/>
      <c r="AV79" s="224"/>
      <c r="AW79" s="224"/>
      <c r="AX79" s="224"/>
      <c r="AY79" s="224"/>
      <c r="AZ79" s="224"/>
      <c r="BA79" s="224"/>
      <c r="BB79" s="224"/>
      <c r="BC79" s="224"/>
      <c r="BD79" s="224"/>
      <c r="BE79" s="224"/>
      <c r="BF79" s="224"/>
      <c r="BG79" s="224"/>
      <c r="BH79" s="224"/>
      <c r="BI79" s="224"/>
      <c r="BJ79" s="224"/>
      <c r="BK79" s="224"/>
      <c r="BL79" s="224"/>
      <c r="BM79" s="224"/>
      <c r="BN79" s="224"/>
      <c r="BO79" s="224"/>
      <c r="BP79" s="224"/>
      <c r="BQ79" s="224"/>
      <c r="BR79" s="224"/>
      <c r="BS79" s="224"/>
      <c r="BT79" s="224"/>
      <c r="BU79" s="224"/>
      <c r="BV79" s="224"/>
      <c r="BX79" s="208"/>
    </row>
    <row r="80" spans="1:80" x14ac:dyDescent="0.2">
      <c r="A80" s="233" t="s">
        <v>255</v>
      </c>
      <c r="B80" s="233"/>
      <c r="C80" s="233"/>
      <c r="D80" s="233"/>
      <c r="E80" s="233"/>
      <c r="F80" s="233"/>
      <c r="G80" s="233"/>
      <c r="H80" s="233"/>
      <c r="I80" s="1"/>
      <c r="J80" s="224"/>
      <c r="K80" s="224"/>
      <c r="L80" s="224"/>
      <c r="M80" s="224"/>
      <c r="N80" s="224"/>
      <c r="O80" s="224"/>
      <c r="P80" s="224"/>
      <c r="Q80" s="224"/>
      <c r="R80" s="224"/>
      <c r="S80" s="224"/>
      <c r="T80" s="224"/>
      <c r="U80" s="224"/>
      <c r="V80" s="224"/>
      <c r="W80" s="224"/>
      <c r="X80" s="224"/>
      <c r="Y80" s="224"/>
      <c r="Z80" s="224"/>
      <c r="AA80" s="224"/>
      <c r="AB80" s="224"/>
      <c r="AC80" s="224"/>
      <c r="AD80" s="224"/>
      <c r="AE80" s="224"/>
      <c r="AF80" s="224"/>
      <c r="AG80" s="224"/>
      <c r="AH80" s="224"/>
      <c r="AI80" s="224"/>
      <c r="AJ80" s="224"/>
      <c r="AK80" s="224"/>
      <c r="AL80" s="224"/>
      <c r="AM80" s="224"/>
      <c r="AN80" s="224"/>
      <c r="AO80" s="224"/>
      <c r="AP80" s="224"/>
      <c r="AQ80" s="224"/>
      <c r="AR80" s="224"/>
      <c r="AS80" s="224"/>
      <c r="AT80" s="224"/>
      <c r="AU80" s="224"/>
      <c r="AV80" s="224"/>
      <c r="AW80" s="224"/>
      <c r="AX80" s="224"/>
      <c r="AY80" s="224"/>
      <c r="AZ80" s="224"/>
      <c r="BA80" s="224"/>
      <c r="BB80" s="224"/>
      <c r="BC80" s="224"/>
      <c r="BD80" s="224"/>
      <c r="BE80" s="224"/>
      <c r="BF80" s="224"/>
      <c r="BG80" s="224"/>
      <c r="BH80" s="224"/>
      <c r="BI80" s="224"/>
      <c r="BJ80" s="224"/>
      <c r="BK80" s="224"/>
      <c r="BL80" s="224"/>
      <c r="BM80" s="224"/>
      <c r="BN80" s="224"/>
      <c r="BO80" s="224"/>
      <c r="BP80" s="224"/>
      <c r="BQ80" s="224"/>
      <c r="BR80" s="224"/>
      <c r="BS80" s="224"/>
      <c r="BT80" s="224"/>
      <c r="BU80" s="224"/>
      <c r="BV80" s="224"/>
      <c r="BX80" s="208"/>
    </row>
    <row r="81" spans="1:76" x14ac:dyDescent="0.2">
      <c r="A81" s="233"/>
      <c r="B81" s="260"/>
      <c r="C81" s="260"/>
      <c r="D81" s="260"/>
      <c r="E81" s="260"/>
      <c r="F81" s="260"/>
      <c r="G81" s="260"/>
      <c r="H81" s="260"/>
      <c r="I81" s="61"/>
      <c r="J81" s="224"/>
      <c r="K81" s="224"/>
      <c r="L81" s="224"/>
      <c r="M81" s="224"/>
      <c r="N81" s="224"/>
      <c r="O81" s="224"/>
      <c r="P81" s="224"/>
      <c r="Q81" s="224"/>
      <c r="R81" s="224"/>
      <c r="S81" s="224"/>
      <c r="T81" s="224"/>
      <c r="U81" s="224"/>
      <c r="V81" s="224"/>
      <c r="W81" s="224"/>
      <c r="X81" s="224"/>
      <c r="Y81" s="224"/>
      <c r="Z81" s="224"/>
      <c r="AA81" s="224"/>
      <c r="AB81" s="224"/>
      <c r="AC81" s="224"/>
      <c r="AD81" s="224"/>
      <c r="AE81" s="224"/>
      <c r="AF81" s="224"/>
      <c r="AG81" s="224"/>
      <c r="AH81" s="224"/>
      <c r="AI81" s="224"/>
      <c r="AK81" s="224"/>
      <c r="AL81" s="224"/>
      <c r="AM81" s="224"/>
      <c r="AN81" s="224"/>
      <c r="AO81" s="224"/>
      <c r="AP81" s="224"/>
      <c r="AQ81" s="224"/>
      <c r="AR81" s="224"/>
      <c r="AS81" s="224"/>
      <c r="AT81" s="224"/>
      <c r="AU81" s="224"/>
      <c r="AV81" s="224"/>
      <c r="AW81" s="224"/>
      <c r="AX81" s="224"/>
      <c r="AY81" s="224"/>
      <c r="AZ81" s="224"/>
      <c r="BA81" s="224"/>
      <c r="BB81" s="224"/>
      <c r="BC81" s="224"/>
      <c r="BD81" s="224"/>
      <c r="BE81" s="224"/>
      <c r="BF81" s="224"/>
      <c r="BG81" s="224"/>
      <c r="BH81" s="224"/>
      <c r="BI81" s="224"/>
      <c r="BJ81" s="224"/>
      <c r="BK81" s="224"/>
      <c r="BL81" s="224"/>
      <c r="BM81" s="224"/>
      <c r="BN81" s="224"/>
      <c r="BO81" s="224"/>
      <c r="BP81" s="224"/>
      <c r="BQ81" s="224"/>
      <c r="BR81" s="224"/>
      <c r="BS81" s="224"/>
      <c r="BT81" s="224"/>
      <c r="BU81" s="224"/>
      <c r="BV81" s="224"/>
      <c r="BX81" s="208"/>
    </row>
    <row r="82" spans="1:76" x14ac:dyDescent="0.2">
      <c r="I82" s="19"/>
      <c r="AS82" s="1"/>
      <c r="BX82" s="208"/>
    </row>
    <row r="83" spans="1:76" x14ac:dyDescent="0.2">
      <c r="BX83" s="208"/>
    </row>
    <row r="84" spans="1:76" x14ac:dyDescent="0.2">
      <c r="B84" s="210"/>
      <c r="C84" s="203"/>
      <c r="D84" s="203"/>
      <c r="E84" s="261"/>
      <c r="F84" s="224"/>
      <c r="G84" s="224"/>
      <c r="H84" s="224"/>
      <c r="I84" s="224"/>
      <c r="J84" s="224"/>
      <c r="K84" s="224"/>
      <c r="L84" s="224"/>
      <c r="M84" s="224"/>
      <c r="N84" s="224"/>
      <c r="O84" s="224"/>
      <c r="P84" s="224"/>
      <c r="Q84" s="224"/>
      <c r="R84" s="224"/>
      <c r="S84" s="224"/>
      <c r="T84" s="224"/>
      <c r="U84" s="224"/>
      <c r="V84" s="224"/>
      <c r="W84" s="224"/>
      <c r="X84" s="224"/>
      <c r="Y84" s="224"/>
      <c r="Z84" s="224"/>
      <c r="AA84" s="224"/>
      <c r="AB84" s="224"/>
      <c r="AC84" s="224"/>
      <c r="AD84" s="224"/>
      <c r="AE84" s="224"/>
      <c r="AF84" s="224"/>
      <c r="AG84" s="224"/>
      <c r="AH84" s="224"/>
      <c r="AI84" s="224"/>
      <c r="AJ84" s="224"/>
      <c r="AK84" s="224"/>
      <c r="AL84" s="224"/>
      <c r="AM84" s="224"/>
      <c r="AN84" s="224"/>
      <c r="AO84" s="224"/>
      <c r="AP84" s="224"/>
      <c r="AQ84" s="224"/>
      <c r="AR84" s="224"/>
      <c r="AS84" s="224"/>
      <c r="AT84" s="224"/>
      <c r="AU84" s="224"/>
      <c r="AV84" s="224"/>
      <c r="AW84" s="224"/>
      <c r="AX84" s="224"/>
      <c r="AY84" s="224"/>
      <c r="AZ84" s="224"/>
      <c r="BA84" s="224"/>
      <c r="BB84" s="224"/>
      <c r="BC84" s="224"/>
      <c r="BD84" s="224"/>
      <c r="BE84" s="224"/>
      <c r="BF84" s="224"/>
      <c r="BG84" s="224"/>
      <c r="BH84" s="224"/>
      <c r="BI84" s="224"/>
      <c r="BJ84" s="224"/>
      <c r="BK84" s="224"/>
      <c r="BL84" s="224"/>
      <c r="BM84" s="224"/>
      <c r="BN84" s="224"/>
      <c r="BO84" s="224"/>
      <c r="BP84" s="224"/>
      <c r="BQ84" s="224"/>
      <c r="BR84" s="224"/>
      <c r="BS84" s="224"/>
      <c r="BT84" s="224"/>
      <c r="BU84" s="224"/>
      <c r="BV84" s="224"/>
      <c r="BX84" s="208"/>
    </row>
    <row r="85" spans="1:76" x14ac:dyDescent="0.2">
      <c r="B85" s="210"/>
      <c r="C85" s="203"/>
      <c r="D85" s="203"/>
      <c r="E85" s="261"/>
      <c r="F85" s="224"/>
      <c r="G85" s="224"/>
      <c r="H85" s="224"/>
      <c r="I85" s="224"/>
      <c r="J85" s="224"/>
      <c r="K85" s="224"/>
      <c r="L85" s="224"/>
      <c r="M85" s="224"/>
      <c r="N85" s="224"/>
      <c r="O85" s="224"/>
      <c r="P85" s="224"/>
      <c r="Q85" s="224"/>
      <c r="R85" s="224"/>
      <c r="S85" s="224"/>
      <c r="T85" s="224"/>
      <c r="U85" s="224"/>
      <c r="V85" s="224"/>
      <c r="W85" s="224"/>
      <c r="X85" s="224"/>
      <c r="Y85" s="224"/>
      <c r="Z85" s="224"/>
      <c r="AA85" s="224"/>
      <c r="AB85" s="224"/>
      <c r="AC85" s="224"/>
      <c r="AD85" s="224"/>
      <c r="AE85" s="224"/>
      <c r="AF85" s="224"/>
      <c r="AG85" s="224"/>
      <c r="AH85" s="224"/>
      <c r="AI85" s="224"/>
      <c r="AJ85" s="224"/>
      <c r="AK85" s="224"/>
      <c r="AL85" s="224"/>
      <c r="AM85" s="224"/>
      <c r="AN85" s="224"/>
      <c r="AO85" s="224"/>
      <c r="AP85" s="224"/>
      <c r="AQ85" s="224"/>
      <c r="AR85" s="224"/>
      <c r="AS85" s="224"/>
      <c r="AT85" s="224"/>
      <c r="AU85" s="224"/>
      <c r="AV85" s="224"/>
      <c r="AW85" s="224"/>
      <c r="AX85" s="224"/>
      <c r="AY85" s="224"/>
      <c r="AZ85" s="224"/>
      <c r="BA85" s="224"/>
      <c r="BB85" s="224"/>
      <c r="BC85" s="224"/>
      <c r="BD85" s="224"/>
      <c r="BE85" s="224"/>
      <c r="BF85" s="224"/>
      <c r="BG85" s="224"/>
      <c r="BH85" s="224"/>
      <c r="BI85" s="224"/>
      <c r="BJ85" s="224"/>
      <c r="BK85" s="224"/>
      <c r="BL85" s="224"/>
      <c r="BM85" s="224"/>
      <c r="BN85" s="224"/>
      <c r="BO85" s="224"/>
      <c r="BP85" s="224"/>
      <c r="BQ85" s="224"/>
      <c r="BR85" s="224"/>
      <c r="BS85" s="224"/>
      <c r="BT85" s="224"/>
      <c r="BU85" s="224"/>
      <c r="BV85" s="224"/>
      <c r="BX85" s="208"/>
    </row>
    <row r="86" spans="1:76" x14ac:dyDescent="0.2">
      <c r="B86" s="210"/>
      <c r="C86" s="203"/>
      <c r="D86" s="203"/>
      <c r="E86" s="261"/>
      <c r="F86" s="224"/>
      <c r="G86" s="224"/>
      <c r="H86" s="224"/>
      <c r="I86" s="224"/>
      <c r="J86" s="224"/>
      <c r="K86" s="224"/>
      <c r="L86" s="224"/>
      <c r="M86" s="224"/>
      <c r="N86" s="224"/>
      <c r="O86" s="224"/>
      <c r="P86" s="224"/>
      <c r="Q86" s="224"/>
      <c r="R86" s="224"/>
      <c r="S86" s="224"/>
      <c r="T86" s="224"/>
      <c r="U86" s="224"/>
      <c r="V86" s="224"/>
      <c r="W86" s="224"/>
      <c r="X86" s="224"/>
      <c r="Y86" s="224"/>
      <c r="Z86" s="224"/>
      <c r="AA86" s="224"/>
      <c r="AB86" s="224"/>
      <c r="AC86" s="224"/>
      <c r="AD86" s="224"/>
      <c r="AE86" s="224"/>
      <c r="AF86" s="224"/>
      <c r="AG86" s="224"/>
      <c r="AH86" s="224"/>
      <c r="AI86" s="224"/>
      <c r="AJ86" s="224"/>
      <c r="AK86" s="224"/>
      <c r="AL86" s="224"/>
      <c r="AM86" s="224"/>
      <c r="AN86" s="224"/>
      <c r="AO86" s="224"/>
      <c r="AP86" s="224"/>
      <c r="AQ86" s="224"/>
      <c r="AR86" s="224"/>
      <c r="AS86" s="224"/>
      <c r="AT86" s="224"/>
      <c r="AU86" s="224"/>
      <c r="AV86" s="224"/>
      <c r="AW86" s="224"/>
      <c r="AX86" s="224"/>
      <c r="AY86" s="224"/>
      <c r="AZ86" s="224"/>
      <c r="BA86" s="224"/>
      <c r="BB86" s="224"/>
      <c r="BC86" s="224"/>
      <c r="BD86" s="224"/>
      <c r="BE86" s="224"/>
      <c r="BF86" s="224"/>
      <c r="BG86" s="224"/>
      <c r="BH86" s="224"/>
      <c r="BI86" s="224"/>
      <c r="BJ86" s="224"/>
      <c r="BK86" s="224"/>
      <c r="BL86" s="224"/>
      <c r="BM86" s="224"/>
      <c r="BN86" s="224"/>
      <c r="BO86" s="224"/>
      <c r="BP86" s="224"/>
      <c r="BQ86" s="224"/>
      <c r="BR86" s="224"/>
      <c r="BS86" s="224"/>
      <c r="BT86" s="224"/>
      <c r="BU86" s="224"/>
      <c r="BV86" s="224"/>
      <c r="BX86" s="208"/>
    </row>
    <row r="87" spans="1:76" x14ac:dyDescent="0.2">
      <c r="B87" s="210"/>
      <c r="C87" s="203"/>
      <c r="D87" s="203"/>
      <c r="E87" s="261"/>
      <c r="F87" s="224"/>
      <c r="G87" s="224"/>
      <c r="H87" s="224"/>
      <c r="I87" s="224"/>
      <c r="J87" s="224"/>
      <c r="K87" s="224"/>
      <c r="L87" s="224"/>
      <c r="M87" s="224"/>
      <c r="N87" s="224"/>
      <c r="O87" s="224"/>
      <c r="P87" s="224"/>
      <c r="Q87" s="224"/>
      <c r="R87" s="224"/>
      <c r="S87" s="224"/>
      <c r="T87" s="224"/>
      <c r="U87" s="224"/>
      <c r="V87" s="224"/>
      <c r="W87" s="224"/>
      <c r="X87" s="224"/>
      <c r="Y87" s="224"/>
      <c r="Z87" s="224"/>
      <c r="AA87" s="224"/>
      <c r="AB87" s="224"/>
      <c r="AC87" s="224"/>
      <c r="AD87" s="224"/>
      <c r="AE87" s="224"/>
      <c r="AF87" s="224"/>
      <c r="AG87" s="224"/>
      <c r="AH87" s="224"/>
      <c r="AI87" s="224"/>
      <c r="AJ87" s="224"/>
      <c r="AK87" s="224"/>
      <c r="AL87" s="224"/>
      <c r="AM87" s="224"/>
      <c r="AN87" s="224"/>
      <c r="AO87" s="224"/>
      <c r="AP87" s="224"/>
      <c r="AQ87" s="224"/>
      <c r="AR87" s="224"/>
      <c r="AS87" s="224"/>
      <c r="AT87" s="224"/>
      <c r="AU87" s="224"/>
      <c r="AV87" s="224"/>
      <c r="AW87" s="224"/>
      <c r="AX87" s="224"/>
      <c r="AY87" s="224"/>
      <c r="AZ87" s="224"/>
      <c r="BA87" s="224"/>
      <c r="BB87" s="224"/>
      <c r="BC87" s="224"/>
      <c r="BD87" s="224"/>
      <c r="BE87" s="224"/>
      <c r="BF87" s="224"/>
      <c r="BG87" s="224"/>
      <c r="BH87" s="224"/>
      <c r="BI87" s="224"/>
      <c r="BJ87" s="224"/>
      <c r="BK87" s="224"/>
      <c r="BL87" s="224"/>
      <c r="BM87" s="224"/>
      <c r="BN87" s="224"/>
      <c r="BO87" s="224"/>
      <c r="BP87" s="224"/>
      <c r="BQ87" s="224"/>
      <c r="BR87" s="224"/>
      <c r="BS87" s="224"/>
      <c r="BT87" s="224"/>
      <c r="BU87" s="224"/>
      <c r="BV87" s="224"/>
      <c r="BX87" s="208"/>
    </row>
    <row r="88" spans="1:76" x14ac:dyDescent="0.2">
      <c r="B88" s="210"/>
      <c r="C88" s="203"/>
      <c r="D88" s="203"/>
      <c r="E88" s="261"/>
      <c r="F88" s="224"/>
      <c r="G88" s="224"/>
      <c r="H88" s="224"/>
      <c r="I88" s="224"/>
      <c r="J88" s="224"/>
      <c r="K88" s="224"/>
      <c r="L88" s="224"/>
      <c r="M88" s="224"/>
      <c r="N88" s="224"/>
      <c r="O88" s="224"/>
      <c r="P88" s="224"/>
      <c r="Q88" s="224"/>
      <c r="R88" s="224"/>
      <c r="S88" s="224"/>
      <c r="T88" s="224"/>
      <c r="U88" s="224"/>
      <c r="V88" s="224"/>
      <c r="W88" s="224"/>
      <c r="X88" s="224"/>
      <c r="Y88" s="224"/>
      <c r="Z88" s="224"/>
      <c r="AA88" s="224"/>
      <c r="AB88" s="224"/>
      <c r="AC88" s="224"/>
      <c r="AD88" s="224"/>
      <c r="AE88" s="224"/>
      <c r="AF88" s="224"/>
      <c r="AG88" s="224"/>
      <c r="AH88" s="224"/>
      <c r="AI88" s="224"/>
      <c r="AJ88" s="224"/>
      <c r="AK88" s="224"/>
      <c r="AL88" s="224"/>
      <c r="AM88" s="224"/>
      <c r="AN88" s="224"/>
      <c r="AO88" s="224"/>
      <c r="AP88" s="224"/>
      <c r="AQ88" s="224"/>
      <c r="AR88" s="224"/>
      <c r="AS88" s="224"/>
      <c r="AT88" s="224"/>
      <c r="AU88" s="224"/>
      <c r="AV88" s="224"/>
      <c r="AW88" s="224"/>
      <c r="AX88" s="224"/>
      <c r="AY88" s="224"/>
      <c r="AZ88" s="224"/>
      <c r="BA88" s="224"/>
      <c r="BB88" s="224"/>
      <c r="BC88" s="224"/>
      <c r="BD88" s="224"/>
      <c r="BE88" s="224"/>
      <c r="BF88" s="224"/>
      <c r="BG88" s="224"/>
      <c r="BH88" s="224"/>
      <c r="BI88" s="224"/>
      <c r="BJ88" s="224"/>
      <c r="BK88" s="224"/>
      <c r="BL88" s="224"/>
      <c r="BM88" s="224"/>
      <c r="BN88" s="224"/>
      <c r="BO88" s="224"/>
      <c r="BP88" s="224"/>
      <c r="BQ88" s="224"/>
      <c r="BR88" s="224"/>
      <c r="BS88" s="224"/>
      <c r="BT88" s="224"/>
      <c r="BU88" s="224"/>
      <c r="BV88" s="224"/>
      <c r="BX88" s="208"/>
    </row>
    <row r="89" spans="1:76" x14ac:dyDescent="0.2">
      <c r="B89" s="210"/>
      <c r="C89" s="203"/>
      <c r="D89" s="203"/>
      <c r="E89" s="261"/>
      <c r="F89" s="224"/>
      <c r="G89" s="224"/>
      <c r="H89" s="224"/>
      <c r="I89" s="224"/>
      <c r="J89" s="224"/>
      <c r="K89" s="224"/>
      <c r="L89" s="224"/>
      <c r="M89" s="224"/>
      <c r="N89" s="224"/>
      <c r="O89" s="224"/>
      <c r="P89" s="224"/>
      <c r="Q89" s="224"/>
      <c r="R89" s="224"/>
      <c r="S89" s="224"/>
      <c r="T89" s="224"/>
      <c r="U89" s="224"/>
      <c r="V89" s="224"/>
      <c r="W89" s="224"/>
      <c r="X89" s="224"/>
      <c r="Y89" s="224"/>
      <c r="Z89" s="224"/>
      <c r="AA89" s="224"/>
      <c r="AB89" s="224"/>
      <c r="AC89" s="224"/>
      <c r="AD89" s="224"/>
      <c r="AE89" s="224"/>
      <c r="AF89" s="224"/>
      <c r="AG89" s="224"/>
      <c r="AH89" s="224"/>
      <c r="AI89" s="224"/>
      <c r="AJ89" s="224"/>
      <c r="AK89" s="224"/>
      <c r="AL89" s="224"/>
      <c r="AM89" s="224"/>
      <c r="AN89" s="224"/>
      <c r="AO89" s="224"/>
      <c r="AP89" s="224"/>
      <c r="AQ89" s="224"/>
      <c r="AR89" s="224"/>
      <c r="AS89" s="224"/>
      <c r="AT89" s="224"/>
      <c r="AU89" s="224"/>
      <c r="AV89" s="224"/>
      <c r="AW89" s="224"/>
      <c r="AX89" s="224"/>
      <c r="AY89" s="224"/>
      <c r="AZ89" s="224"/>
      <c r="BA89" s="224"/>
      <c r="BB89" s="224"/>
      <c r="BC89" s="224"/>
      <c r="BD89" s="224"/>
      <c r="BE89" s="224"/>
      <c r="BF89" s="224"/>
      <c r="BG89" s="224"/>
      <c r="BH89" s="224"/>
      <c r="BI89" s="224"/>
      <c r="BJ89" s="224"/>
      <c r="BK89" s="224"/>
      <c r="BL89" s="224"/>
      <c r="BM89" s="224"/>
      <c r="BN89" s="224"/>
      <c r="BO89" s="224"/>
      <c r="BP89" s="224"/>
      <c r="BQ89" s="224"/>
      <c r="BR89" s="224"/>
      <c r="BS89" s="224"/>
      <c r="BT89" s="224"/>
      <c r="BU89" s="224"/>
      <c r="BV89" s="224"/>
      <c r="BX89" s="208"/>
    </row>
    <row r="90" spans="1:76" x14ac:dyDescent="0.2">
      <c r="B90" s="210"/>
      <c r="C90" s="203"/>
      <c r="D90" s="203"/>
      <c r="E90" s="261"/>
      <c r="F90" s="224"/>
      <c r="G90" s="224"/>
      <c r="H90" s="224"/>
      <c r="I90" s="224"/>
      <c r="J90" s="224"/>
      <c r="K90" s="224"/>
      <c r="L90" s="224"/>
      <c r="M90" s="224"/>
      <c r="N90" s="224"/>
      <c r="O90" s="224"/>
      <c r="P90" s="224"/>
      <c r="Q90" s="224"/>
      <c r="R90" s="224"/>
      <c r="S90" s="224"/>
      <c r="T90" s="224"/>
      <c r="U90" s="224"/>
      <c r="V90" s="224"/>
      <c r="W90" s="224"/>
      <c r="X90" s="224"/>
      <c r="Y90" s="224"/>
      <c r="Z90" s="224"/>
      <c r="AA90" s="224"/>
      <c r="AB90" s="224"/>
      <c r="AC90" s="224"/>
      <c r="AD90" s="224"/>
      <c r="AE90" s="224"/>
      <c r="AF90" s="224"/>
      <c r="AG90" s="224"/>
      <c r="AH90" s="224"/>
      <c r="AI90" s="224"/>
      <c r="AJ90" s="224"/>
      <c r="AK90" s="224"/>
      <c r="AL90" s="224"/>
      <c r="AM90" s="224"/>
      <c r="AN90" s="224"/>
      <c r="AO90" s="224"/>
      <c r="AP90" s="224"/>
      <c r="AQ90" s="224"/>
      <c r="AR90" s="224"/>
      <c r="AS90" s="224"/>
      <c r="AT90" s="224"/>
      <c r="AU90" s="224"/>
      <c r="AV90" s="224"/>
      <c r="AW90" s="224"/>
      <c r="AX90" s="224"/>
      <c r="AY90" s="224"/>
      <c r="AZ90" s="224"/>
      <c r="BA90" s="224"/>
      <c r="BB90" s="224"/>
      <c r="BC90" s="224"/>
      <c r="BD90" s="224"/>
      <c r="BE90" s="224"/>
      <c r="BF90" s="224"/>
      <c r="BG90" s="224"/>
      <c r="BH90" s="224"/>
      <c r="BI90" s="224"/>
      <c r="BJ90" s="224"/>
      <c r="BK90" s="224"/>
      <c r="BL90" s="224"/>
      <c r="BM90" s="224"/>
      <c r="BN90" s="224"/>
      <c r="BO90" s="224"/>
      <c r="BP90" s="224"/>
      <c r="BQ90" s="224"/>
      <c r="BR90" s="224"/>
      <c r="BS90" s="224"/>
      <c r="BT90" s="224"/>
      <c r="BU90" s="224"/>
      <c r="BV90" s="224"/>
      <c r="BX90" s="208"/>
    </row>
    <row r="91" spans="1:76" x14ac:dyDescent="0.2">
      <c r="B91" s="210"/>
      <c r="C91" s="203"/>
      <c r="D91" s="203"/>
      <c r="E91" s="261"/>
      <c r="F91" s="224"/>
      <c r="G91" s="224"/>
      <c r="H91" s="224"/>
      <c r="I91" s="224"/>
      <c r="J91" s="224"/>
      <c r="K91" s="224"/>
      <c r="L91" s="224"/>
      <c r="M91" s="224"/>
      <c r="N91" s="224"/>
      <c r="O91" s="224"/>
      <c r="P91" s="224"/>
      <c r="Q91" s="224"/>
      <c r="R91" s="224"/>
      <c r="S91" s="224"/>
      <c r="T91" s="224"/>
      <c r="U91" s="224"/>
      <c r="V91" s="224"/>
      <c r="W91" s="224"/>
      <c r="X91" s="224"/>
      <c r="Y91" s="224"/>
      <c r="Z91" s="224"/>
      <c r="AA91" s="224"/>
      <c r="AB91" s="224"/>
      <c r="AC91" s="224"/>
      <c r="AD91" s="224"/>
      <c r="AE91" s="224"/>
      <c r="AF91" s="224"/>
      <c r="AG91" s="224"/>
      <c r="AH91" s="224"/>
      <c r="AI91" s="224"/>
      <c r="AJ91" s="224"/>
      <c r="AK91" s="224"/>
      <c r="AL91" s="224"/>
      <c r="AM91" s="224"/>
      <c r="AN91" s="224"/>
      <c r="AO91" s="224"/>
      <c r="AP91" s="224"/>
      <c r="AQ91" s="224"/>
      <c r="AR91" s="224"/>
      <c r="AS91" s="224"/>
      <c r="AT91" s="224"/>
      <c r="AU91" s="224"/>
      <c r="AV91" s="224"/>
      <c r="AW91" s="224"/>
      <c r="AX91" s="224"/>
      <c r="AY91" s="224"/>
      <c r="AZ91" s="224"/>
      <c r="BA91" s="224"/>
      <c r="BB91" s="224"/>
      <c r="BC91" s="224"/>
      <c r="BD91" s="224"/>
      <c r="BE91" s="224"/>
      <c r="BF91" s="224"/>
      <c r="BG91" s="224"/>
      <c r="BH91" s="224"/>
      <c r="BI91" s="224"/>
      <c r="BJ91" s="224"/>
      <c r="BK91" s="224"/>
      <c r="BL91" s="224"/>
      <c r="BM91" s="224"/>
      <c r="BN91" s="224"/>
      <c r="BO91" s="224"/>
      <c r="BP91" s="224"/>
      <c r="BQ91" s="224"/>
      <c r="BR91" s="224"/>
      <c r="BS91" s="224"/>
      <c r="BT91" s="224"/>
      <c r="BU91" s="224"/>
      <c r="BV91" s="224"/>
      <c r="BX91" s="208"/>
    </row>
    <row r="92" spans="1:76" x14ac:dyDescent="0.2">
      <c r="B92" s="210"/>
      <c r="C92" s="203"/>
      <c r="D92" s="203"/>
      <c r="E92" s="261"/>
      <c r="F92" s="224"/>
      <c r="G92" s="224"/>
      <c r="H92" s="224"/>
      <c r="I92" s="224"/>
      <c r="J92" s="224"/>
      <c r="K92" s="224"/>
      <c r="L92" s="224"/>
      <c r="M92" s="224"/>
      <c r="N92" s="224"/>
      <c r="O92" s="224"/>
      <c r="P92" s="224"/>
      <c r="Q92" s="224"/>
      <c r="R92" s="224"/>
      <c r="S92" s="224"/>
      <c r="T92" s="224"/>
      <c r="U92" s="224"/>
      <c r="V92" s="224"/>
      <c r="W92" s="224"/>
      <c r="X92" s="224"/>
      <c r="Y92" s="224"/>
      <c r="Z92" s="224"/>
      <c r="AA92" s="224"/>
      <c r="AB92" s="224"/>
      <c r="AC92" s="224"/>
      <c r="AD92" s="224"/>
      <c r="AE92" s="224"/>
      <c r="AF92" s="224"/>
      <c r="AG92" s="224"/>
      <c r="AH92" s="224"/>
      <c r="AI92" s="224"/>
      <c r="AJ92" s="224"/>
      <c r="AK92" s="224"/>
      <c r="AL92" s="224"/>
      <c r="AM92" s="224"/>
      <c r="AN92" s="224"/>
      <c r="AO92" s="224"/>
      <c r="AP92" s="224"/>
      <c r="AQ92" s="224"/>
      <c r="AR92" s="224"/>
      <c r="AS92" s="224"/>
      <c r="AT92" s="224"/>
      <c r="AU92" s="224"/>
      <c r="AV92" s="224"/>
      <c r="AW92" s="224"/>
      <c r="AX92" s="224"/>
      <c r="AY92" s="224"/>
      <c r="AZ92" s="224"/>
      <c r="BA92" s="224"/>
      <c r="BB92" s="224"/>
      <c r="BC92" s="224"/>
      <c r="BD92" s="224"/>
      <c r="BE92" s="224"/>
      <c r="BF92" s="224"/>
      <c r="BG92" s="224"/>
      <c r="BH92" s="224"/>
      <c r="BI92" s="224"/>
      <c r="BJ92" s="224"/>
      <c r="BK92" s="224"/>
      <c r="BL92" s="224"/>
      <c r="BM92" s="224"/>
      <c r="BN92" s="224"/>
      <c r="BO92" s="224"/>
      <c r="BP92" s="224"/>
      <c r="BQ92" s="224"/>
      <c r="BR92" s="224"/>
      <c r="BS92" s="224"/>
      <c r="BT92" s="224"/>
      <c r="BU92" s="224"/>
      <c r="BV92" s="224"/>
      <c r="BX92" s="208"/>
    </row>
    <row r="93" spans="1:76" x14ac:dyDescent="0.2">
      <c r="B93" s="210"/>
      <c r="C93" s="203"/>
      <c r="D93" s="203"/>
      <c r="E93" s="261"/>
      <c r="F93" s="224"/>
      <c r="G93" s="224"/>
      <c r="H93" s="224"/>
      <c r="I93" s="224"/>
      <c r="J93" s="224"/>
      <c r="K93" s="224"/>
      <c r="L93" s="224"/>
      <c r="M93" s="224"/>
      <c r="N93" s="224"/>
      <c r="O93" s="224"/>
      <c r="P93" s="224"/>
      <c r="Q93" s="224"/>
      <c r="R93" s="224"/>
      <c r="S93" s="224"/>
      <c r="T93" s="224"/>
      <c r="U93" s="224"/>
      <c r="V93" s="224"/>
      <c r="W93" s="224"/>
      <c r="X93" s="224"/>
      <c r="Y93" s="224"/>
      <c r="Z93" s="224"/>
      <c r="AA93" s="224"/>
      <c r="AB93" s="224"/>
      <c r="AC93" s="224"/>
      <c r="AD93" s="224"/>
      <c r="AE93" s="224"/>
      <c r="AF93" s="224"/>
      <c r="AG93" s="224"/>
      <c r="AH93" s="224"/>
      <c r="AI93" s="224"/>
      <c r="AJ93" s="224"/>
      <c r="AK93" s="224"/>
      <c r="AL93" s="224"/>
      <c r="AM93" s="224"/>
      <c r="AN93" s="224"/>
      <c r="AO93" s="224"/>
      <c r="AP93" s="224"/>
      <c r="AQ93" s="224"/>
      <c r="AR93" s="224"/>
      <c r="AS93" s="224"/>
      <c r="AT93" s="224"/>
      <c r="AU93" s="224"/>
      <c r="AV93" s="224"/>
      <c r="AW93" s="224"/>
      <c r="AX93" s="224"/>
      <c r="AY93" s="224"/>
      <c r="AZ93" s="224"/>
      <c r="BA93" s="224"/>
      <c r="BB93" s="224"/>
      <c r="BC93" s="224"/>
      <c r="BD93" s="224"/>
      <c r="BE93" s="224"/>
      <c r="BF93" s="224"/>
      <c r="BG93" s="224"/>
      <c r="BH93" s="224"/>
      <c r="BI93" s="224"/>
      <c r="BJ93" s="224"/>
      <c r="BK93" s="224"/>
      <c r="BL93" s="224"/>
      <c r="BM93" s="224"/>
      <c r="BN93" s="224"/>
      <c r="BO93" s="224"/>
      <c r="BP93" s="224"/>
      <c r="BQ93" s="224"/>
      <c r="BR93" s="224"/>
      <c r="BS93" s="224"/>
      <c r="BT93" s="224"/>
      <c r="BU93" s="224"/>
      <c r="BV93" s="224"/>
      <c r="BX93" s="208"/>
    </row>
    <row r="94" spans="1:76" x14ac:dyDescent="0.2">
      <c r="B94" s="210"/>
      <c r="C94" s="203"/>
      <c r="D94" s="203"/>
      <c r="E94" s="261"/>
      <c r="F94" s="224"/>
      <c r="G94" s="224"/>
      <c r="H94" s="224"/>
      <c r="I94" s="224"/>
      <c r="J94" s="224"/>
      <c r="K94" s="224"/>
      <c r="L94" s="224"/>
      <c r="M94" s="224"/>
      <c r="N94" s="224"/>
      <c r="O94" s="224"/>
      <c r="P94" s="224"/>
      <c r="Q94" s="224"/>
      <c r="R94" s="224"/>
      <c r="S94" s="224"/>
      <c r="T94" s="224"/>
      <c r="U94" s="224"/>
      <c r="V94" s="224"/>
      <c r="W94" s="224"/>
      <c r="X94" s="224"/>
      <c r="Y94" s="224"/>
      <c r="Z94" s="224"/>
      <c r="AA94" s="224"/>
      <c r="AB94" s="224"/>
      <c r="AC94" s="224"/>
      <c r="AD94" s="224"/>
      <c r="AE94" s="224"/>
      <c r="AF94" s="224"/>
      <c r="AG94" s="224"/>
      <c r="AH94" s="224"/>
      <c r="AI94" s="224"/>
      <c r="AJ94" s="224"/>
      <c r="AK94" s="224"/>
      <c r="AL94" s="224"/>
      <c r="AM94" s="224"/>
      <c r="AN94" s="224"/>
      <c r="AO94" s="224"/>
      <c r="AP94" s="224"/>
      <c r="AQ94" s="224"/>
      <c r="AR94" s="224"/>
      <c r="AS94" s="224"/>
      <c r="AT94" s="224"/>
      <c r="AU94" s="224"/>
      <c r="AV94" s="224"/>
      <c r="AW94" s="224"/>
      <c r="AX94" s="224"/>
      <c r="AY94" s="224"/>
      <c r="AZ94" s="224"/>
      <c r="BA94" s="224"/>
      <c r="BB94" s="224"/>
      <c r="BC94" s="224"/>
      <c r="BD94" s="224"/>
      <c r="BE94" s="224"/>
      <c r="BF94" s="224"/>
      <c r="BG94" s="224"/>
      <c r="BH94" s="224"/>
      <c r="BI94" s="224"/>
      <c r="BJ94" s="224"/>
      <c r="BK94" s="224"/>
      <c r="BL94" s="224"/>
      <c r="BM94" s="224"/>
      <c r="BN94" s="224"/>
      <c r="BO94" s="224"/>
      <c r="BP94" s="224"/>
      <c r="BQ94" s="224"/>
      <c r="BR94" s="224"/>
      <c r="BS94" s="224"/>
      <c r="BT94" s="224"/>
      <c r="BU94" s="224"/>
      <c r="BV94" s="224"/>
      <c r="BX94" s="208"/>
    </row>
    <row r="95" spans="1:76" x14ac:dyDescent="0.2">
      <c r="B95" s="210"/>
      <c r="C95" s="203"/>
      <c r="D95" s="203"/>
      <c r="E95" s="261"/>
      <c r="F95" s="224"/>
      <c r="G95" s="224"/>
      <c r="H95" s="224"/>
      <c r="I95" s="224"/>
      <c r="J95" s="224"/>
      <c r="K95" s="224"/>
      <c r="L95" s="224"/>
      <c r="M95" s="224"/>
      <c r="N95" s="224"/>
      <c r="O95" s="224"/>
      <c r="P95" s="224"/>
      <c r="Q95" s="224"/>
      <c r="R95" s="224"/>
      <c r="S95" s="224"/>
      <c r="T95" s="224"/>
      <c r="U95" s="224"/>
      <c r="V95" s="224"/>
      <c r="W95" s="224"/>
      <c r="X95" s="224"/>
      <c r="Y95" s="224"/>
      <c r="Z95" s="224"/>
      <c r="AA95" s="224"/>
      <c r="AB95" s="224"/>
      <c r="AC95" s="224"/>
      <c r="AD95" s="224"/>
      <c r="AE95" s="224"/>
      <c r="AF95" s="224"/>
      <c r="AG95" s="224"/>
      <c r="AH95" s="224"/>
      <c r="AI95" s="224"/>
      <c r="AJ95" s="224"/>
      <c r="AK95" s="224"/>
      <c r="AL95" s="224"/>
      <c r="AM95" s="224"/>
      <c r="AN95" s="224"/>
      <c r="AO95" s="224"/>
      <c r="AP95" s="224"/>
      <c r="AQ95" s="224"/>
      <c r="AR95" s="224"/>
      <c r="AS95" s="224"/>
      <c r="AT95" s="224"/>
      <c r="AU95" s="224"/>
      <c r="AV95" s="224"/>
      <c r="AW95" s="224"/>
      <c r="AX95" s="224"/>
      <c r="AY95" s="224"/>
      <c r="AZ95" s="224"/>
      <c r="BA95" s="224"/>
      <c r="BB95" s="224"/>
      <c r="BC95" s="224"/>
      <c r="BD95" s="224"/>
      <c r="BE95" s="224"/>
      <c r="BF95" s="224"/>
      <c r="BG95" s="224"/>
      <c r="BH95" s="224"/>
      <c r="BI95" s="224"/>
      <c r="BJ95" s="224"/>
      <c r="BK95" s="224"/>
      <c r="BL95" s="224"/>
      <c r="BM95" s="224"/>
      <c r="BN95" s="224"/>
      <c r="BO95" s="224"/>
      <c r="BP95" s="224"/>
      <c r="BQ95" s="224"/>
      <c r="BR95" s="224"/>
      <c r="BS95" s="224"/>
      <c r="BT95" s="224"/>
      <c r="BU95" s="224"/>
      <c r="BV95" s="224"/>
      <c r="BX95" s="208"/>
    </row>
    <row r="96" spans="1:76" x14ac:dyDescent="0.2">
      <c r="B96" s="210"/>
      <c r="C96" s="203"/>
      <c r="D96" s="203"/>
      <c r="E96" s="261"/>
      <c r="F96" s="224"/>
      <c r="G96" s="224"/>
      <c r="H96" s="224"/>
      <c r="I96" s="224"/>
      <c r="J96" s="224"/>
      <c r="K96" s="224"/>
      <c r="L96" s="224"/>
      <c r="M96" s="224"/>
      <c r="N96" s="224"/>
      <c r="O96" s="224"/>
      <c r="P96" s="224"/>
      <c r="Q96" s="224"/>
      <c r="R96" s="224"/>
      <c r="S96" s="224"/>
      <c r="T96" s="224"/>
      <c r="U96" s="224"/>
      <c r="V96" s="224"/>
      <c r="W96" s="224"/>
      <c r="X96" s="224"/>
      <c r="Y96" s="224"/>
      <c r="Z96" s="224"/>
      <c r="AA96" s="224"/>
      <c r="AB96" s="224"/>
      <c r="AC96" s="224"/>
      <c r="AD96" s="224"/>
      <c r="AE96" s="224"/>
      <c r="AF96" s="224"/>
      <c r="AG96" s="224"/>
      <c r="AH96" s="224"/>
      <c r="AI96" s="224"/>
      <c r="AJ96" s="224"/>
      <c r="AK96" s="224"/>
      <c r="AL96" s="224"/>
      <c r="AM96" s="224"/>
      <c r="AN96" s="224"/>
      <c r="AO96" s="224"/>
      <c r="AP96" s="224"/>
      <c r="AQ96" s="224"/>
      <c r="AR96" s="224"/>
      <c r="AS96" s="224"/>
      <c r="AT96" s="224"/>
      <c r="AU96" s="224"/>
      <c r="AV96" s="224"/>
      <c r="AW96" s="224"/>
      <c r="AX96" s="224"/>
      <c r="AY96" s="224"/>
      <c r="AZ96" s="224"/>
      <c r="BA96" s="224"/>
      <c r="BB96" s="224"/>
      <c r="BC96" s="224"/>
      <c r="BD96" s="224"/>
      <c r="BE96" s="224"/>
      <c r="BF96" s="224"/>
      <c r="BG96" s="224"/>
      <c r="BH96" s="224"/>
      <c r="BI96" s="224"/>
      <c r="BJ96" s="224"/>
      <c r="BK96" s="224"/>
      <c r="BL96" s="224"/>
      <c r="BM96" s="224"/>
      <c r="BN96" s="224"/>
      <c r="BO96" s="224"/>
      <c r="BP96" s="224"/>
      <c r="BQ96" s="224"/>
      <c r="BR96" s="224"/>
      <c r="BS96" s="224"/>
      <c r="BT96" s="224"/>
      <c r="BU96" s="224"/>
      <c r="BV96" s="224"/>
      <c r="BX96" s="208"/>
    </row>
    <row r="97" spans="2:76" x14ac:dyDescent="0.2">
      <c r="B97" s="210"/>
      <c r="C97" s="203"/>
      <c r="D97" s="203"/>
      <c r="E97" s="261"/>
      <c r="F97" s="224"/>
      <c r="G97" s="224"/>
      <c r="H97" s="224"/>
      <c r="I97" s="224"/>
      <c r="J97" s="224"/>
      <c r="K97" s="224"/>
      <c r="L97" s="224"/>
      <c r="M97" s="224"/>
      <c r="N97" s="224"/>
      <c r="O97" s="224"/>
      <c r="P97" s="224"/>
      <c r="Q97" s="224"/>
      <c r="R97" s="224"/>
      <c r="S97" s="224"/>
      <c r="T97" s="224"/>
      <c r="U97" s="224"/>
      <c r="V97" s="224"/>
      <c r="W97" s="224"/>
      <c r="X97" s="224"/>
      <c r="Y97" s="224"/>
      <c r="Z97" s="224"/>
      <c r="AA97" s="224"/>
      <c r="AB97" s="224"/>
      <c r="AC97" s="224"/>
      <c r="AD97" s="224"/>
      <c r="AE97" s="224"/>
      <c r="AF97" s="224"/>
      <c r="AG97" s="224"/>
      <c r="AH97" s="224"/>
      <c r="AI97" s="224"/>
      <c r="AJ97" s="224"/>
      <c r="AK97" s="224"/>
      <c r="AL97" s="224"/>
      <c r="AM97" s="224"/>
      <c r="AN97" s="224"/>
      <c r="AO97" s="224"/>
      <c r="AP97" s="224"/>
      <c r="AQ97" s="224"/>
      <c r="AR97" s="224"/>
      <c r="AS97" s="224"/>
      <c r="AT97" s="224"/>
      <c r="AU97" s="224"/>
      <c r="AV97" s="224"/>
      <c r="AW97" s="224"/>
      <c r="AX97" s="224"/>
      <c r="AY97" s="224"/>
      <c r="AZ97" s="224"/>
      <c r="BA97" s="224"/>
      <c r="BB97" s="224"/>
      <c r="BC97" s="224"/>
      <c r="BD97" s="224"/>
      <c r="BE97" s="224"/>
      <c r="BF97" s="224"/>
      <c r="BG97" s="224"/>
      <c r="BH97" s="224"/>
      <c r="BI97" s="224"/>
      <c r="BJ97" s="224"/>
      <c r="BK97" s="224"/>
      <c r="BL97" s="224"/>
      <c r="BM97" s="224"/>
      <c r="BN97" s="224"/>
      <c r="BO97" s="224"/>
      <c r="BP97" s="224"/>
      <c r="BQ97" s="224"/>
      <c r="BR97" s="224"/>
      <c r="BS97" s="224"/>
      <c r="BT97" s="224"/>
      <c r="BU97" s="224"/>
      <c r="BV97" s="224"/>
      <c r="BX97" s="208"/>
    </row>
    <row r="98" spans="2:76" x14ac:dyDescent="0.2">
      <c r="B98" s="210"/>
      <c r="C98" s="203"/>
      <c r="D98" s="203"/>
      <c r="E98" s="261"/>
      <c r="F98" s="224"/>
      <c r="G98" s="224"/>
      <c r="H98" s="224"/>
      <c r="I98" s="224"/>
      <c r="J98" s="224"/>
      <c r="K98" s="224"/>
      <c r="L98" s="224"/>
      <c r="M98" s="224"/>
      <c r="N98" s="224"/>
      <c r="O98" s="224"/>
      <c r="P98" s="224"/>
      <c r="Q98" s="224"/>
      <c r="R98" s="224"/>
      <c r="S98" s="224"/>
      <c r="T98" s="224"/>
      <c r="U98" s="224"/>
      <c r="V98" s="224"/>
      <c r="W98" s="224"/>
      <c r="X98" s="224"/>
      <c r="Y98" s="224"/>
      <c r="Z98" s="224"/>
      <c r="AA98" s="224"/>
      <c r="AB98" s="224"/>
      <c r="AC98" s="224"/>
      <c r="AD98" s="224"/>
      <c r="AE98" s="224"/>
      <c r="AF98" s="224"/>
      <c r="AG98" s="224"/>
      <c r="AH98" s="224"/>
      <c r="AI98" s="224"/>
      <c r="AJ98" s="224"/>
      <c r="AK98" s="224"/>
      <c r="AL98" s="224"/>
      <c r="AM98" s="224"/>
      <c r="AN98" s="224"/>
      <c r="AO98" s="224"/>
      <c r="AP98" s="224"/>
      <c r="AQ98" s="224"/>
      <c r="AR98" s="224"/>
      <c r="AS98" s="224"/>
      <c r="AT98" s="224"/>
      <c r="AU98" s="224"/>
      <c r="AV98" s="224"/>
      <c r="AW98" s="224"/>
      <c r="AX98" s="224"/>
      <c r="AY98" s="224"/>
      <c r="AZ98" s="224"/>
      <c r="BA98" s="224"/>
      <c r="BB98" s="224"/>
      <c r="BC98" s="224"/>
      <c r="BD98" s="224"/>
      <c r="BE98" s="224"/>
      <c r="BF98" s="224"/>
      <c r="BG98" s="224"/>
      <c r="BH98" s="224"/>
      <c r="BI98" s="224"/>
      <c r="BJ98" s="224"/>
      <c r="BK98" s="224"/>
      <c r="BL98" s="224"/>
      <c r="BM98" s="224"/>
      <c r="BN98" s="224"/>
      <c r="BO98" s="224"/>
      <c r="BP98" s="224"/>
      <c r="BQ98" s="224"/>
      <c r="BR98" s="224"/>
      <c r="BS98" s="224"/>
      <c r="BT98" s="224"/>
      <c r="BU98" s="224"/>
      <c r="BV98" s="224"/>
      <c r="BX98" s="208"/>
    </row>
    <row r="99" spans="2:76" x14ac:dyDescent="0.2">
      <c r="B99" s="210"/>
      <c r="C99" s="203"/>
      <c r="D99" s="203"/>
      <c r="E99" s="261"/>
      <c r="F99" s="224"/>
      <c r="G99" s="224"/>
      <c r="H99" s="224"/>
      <c r="I99" s="224"/>
      <c r="J99" s="224"/>
      <c r="K99" s="224"/>
      <c r="L99" s="224"/>
      <c r="M99" s="224"/>
      <c r="N99" s="224"/>
      <c r="O99" s="224"/>
      <c r="P99" s="224"/>
      <c r="Q99" s="224"/>
      <c r="R99" s="224"/>
      <c r="S99" s="224"/>
      <c r="T99" s="224"/>
      <c r="U99" s="224"/>
      <c r="V99" s="224"/>
      <c r="W99" s="224"/>
      <c r="X99" s="224"/>
      <c r="Y99" s="224"/>
      <c r="Z99" s="224"/>
      <c r="AA99" s="224"/>
      <c r="AB99" s="224"/>
      <c r="AC99" s="224"/>
      <c r="AD99" s="224"/>
      <c r="AE99" s="224"/>
      <c r="AF99" s="224"/>
      <c r="AG99" s="224"/>
      <c r="AH99" s="224"/>
      <c r="AI99" s="224"/>
      <c r="AJ99" s="224"/>
      <c r="AK99" s="224"/>
      <c r="AL99" s="224"/>
      <c r="AM99" s="224"/>
      <c r="AN99" s="224"/>
      <c r="AO99" s="224"/>
      <c r="AP99" s="224"/>
      <c r="AQ99" s="224"/>
      <c r="AR99" s="224"/>
      <c r="AS99" s="224"/>
      <c r="AT99" s="224"/>
      <c r="AU99" s="224"/>
      <c r="AV99" s="224"/>
      <c r="AW99" s="224"/>
      <c r="AX99" s="224"/>
      <c r="AY99" s="224"/>
      <c r="AZ99" s="224"/>
      <c r="BA99" s="224"/>
      <c r="BB99" s="224"/>
      <c r="BC99" s="224"/>
      <c r="BD99" s="224"/>
      <c r="BE99" s="224"/>
      <c r="BF99" s="224"/>
      <c r="BG99" s="224"/>
      <c r="BH99" s="224"/>
      <c r="BI99" s="224"/>
      <c r="BJ99" s="224"/>
      <c r="BK99" s="224"/>
      <c r="BL99" s="224"/>
      <c r="BM99" s="224"/>
      <c r="BN99" s="224"/>
      <c r="BO99" s="224"/>
      <c r="BP99" s="224"/>
      <c r="BQ99" s="224"/>
      <c r="BR99" s="224"/>
      <c r="BS99" s="224"/>
      <c r="BT99" s="224"/>
      <c r="BU99" s="224"/>
      <c r="BV99" s="224"/>
      <c r="BX99" s="208"/>
    </row>
    <row r="100" spans="2:76" x14ac:dyDescent="0.2">
      <c r="B100" s="210"/>
      <c r="C100" s="203"/>
      <c r="D100" s="203"/>
      <c r="E100" s="261"/>
      <c r="F100" s="224"/>
      <c r="G100" s="224"/>
      <c r="H100" s="224"/>
      <c r="I100" s="224"/>
      <c r="J100" s="224"/>
      <c r="K100" s="224"/>
      <c r="L100" s="224"/>
      <c r="M100" s="224"/>
      <c r="N100" s="224"/>
      <c r="O100" s="224"/>
      <c r="P100" s="224"/>
      <c r="Q100" s="224"/>
      <c r="R100" s="224"/>
      <c r="S100" s="224"/>
      <c r="T100" s="224"/>
      <c r="U100" s="224"/>
      <c r="V100" s="224"/>
      <c r="W100" s="224"/>
      <c r="X100" s="224"/>
      <c r="Y100" s="224"/>
      <c r="Z100" s="224"/>
      <c r="AA100" s="224"/>
      <c r="AB100" s="224"/>
      <c r="AC100" s="224"/>
      <c r="AD100" s="224"/>
      <c r="AE100" s="224"/>
      <c r="AF100" s="224"/>
      <c r="AG100" s="224"/>
      <c r="AH100" s="224"/>
      <c r="AI100" s="224"/>
      <c r="AJ100" s="224"/>
      <c r="AK100" s="224"/>
      <c r="AL100" s="224"/>
      <c r="AM100" s="224"/>
      <c r="AN100" s="224"/>
      <c r="AO100" s="224"/>
      <c r="AP100" s="224"/>
      <c r="AQ100" s="224"/>
      <c r="AR100" s="224"/>
      <c r="AS100" s="224"/>
      <c r="AT100" s="224"/>
      <c r="AU100" s="224"/>
      <c r="AV100" s="224"/>
      <c r="AW100" s="224"/>
      <c r="AX100" s="224"/>
      <c r="AY100" s="224"/>
      <c r="AZ100" s="224"/>
      <c r="BA100" s="224"/>
      <c r="BB100" s="224"/>
      <c r="BC100" s="224"/>
      <c r="BD100" s="224"/>
      <c r="BE100" s="224"/>
      <c r="BF100" s="224"/>
      <c r="BG100" s="224"/>
      <c r="BH100" s="224"/>
      <c r="BI100" s="224"/>
      <c r="BJ100" s="224"/>
      <c r="BK100" s="224"/>
      <c r="BL100" s="224"/>
      <c r="BM100" s="224"/>
      <c r="BN100" s="224"/>
      <c r="BO100" s="224"/>
      <c r="BP100" s="224"/>
      <c r="BQ100" s="224"/>
      <c r="BR100" s="224"/>
      <c r="BS100" s="224"/>
      <c r="BT100" s="224"/>
      <c r="BU100" s="224"/>
      <c r="BV100" s="224"/>
      <c r="BX100" s="208"/>
    </row>
    <row r="101" spans="2:76" x14ac:dyDescent="0.2">
      <c r="B101" s="210"/>
      <c r="C101" s="203"/>
      <c r="D101" s="203"/>
      <c r="E101" s="261"/>
      <c r="F101" s="224"/>
      <c r="G101" s="224"/>
      <c r="H101" s="224"/>
      <c r="I101" s="224"/>
      <c r="J101" s="224"/>
      <c r="K101" s="224"/>
      <c r="L101" s="224"/>
      <c r="M101" s="224"/>
      <c r="N101" s="224"/>
      <c r="O101" s="224"/>
      <c r="P101" s="224"/>
      <c r="Q101" s="224"/>
      <c r="R101" s="224"/>
      <c r="S101" s="224"/>
      <c r="T101" s="224"/>
      <c r="U101" s="224"/>
      <c r="V101" s="224"/>
      <c r="W101" s="224"/>
      <c r="X101" s="224"/>
      <c r="Y101" s="224"/>
      <c r="Z101" s="224"/>
      <c r="AA101" s="224"/>
      <c r="AB101" s="224"/>
      <c r="AC101" s="224"/>
      <c r="AD101" s="224"/>
      <c r="AE101" s="224"/>
      <c r="AF101" s="224"/>
      <c r="AG101" s="224"/>
      <c r="AH101" s="224"/>
      <c r="AI101" s="224"/>
      <c r="AJ101" s="224"/>
      <c r="AK101" s="224"/>
      <c r="AL101" s="224"/>
      <c r="AM101" s="224"/>
      <c r="AN101" s="224"/>
      <c r="AO101" s="224"/>
      <c r="AP101" s="224"/>
      <c r="AQ101" s="224"/>
      <c r="AR101" s="224"/>
      <c r="AS101" s="224"/>
      <c r="AT101" s="224"/>
      <c r="AU101" s="224"/>
      <c r="AV101" s="224"/>
      <c r="AW101" s="224"/>
      <c r="AX101" s="224"/>
      <c r="AY101" s="224"/>
      <c r="AZ101" s="224"/>
      <c r="BA101" s="224"/>
      <c r="BB101" s="224"/>
      <c r="BC101" s="224"/>
      <c r="BD101" s="224"/>
      <c r="BE101" s="224"/>
      <c r="BF101" s="224"/>
      <c r="BG101" s="224"/>
      <c r="BH101" s="224"/>
      <c r="BI101" s="224"/>
      <c r="BJ101" s="224"/>
      <c r="BK101" s="224"/>
      <c r="BL101" s="224"/>
      <c r="BM101" s="224"/>
      <c r="BN101" s="224"/>
      <c r="BO101" s="224"/>
      <c r="BP101" s="224"/>
      <c r="BQ101" s="224"/>
      <c r="BR101" s="224"/>
      <c r="BS101" s="224"/>
      <c r="BT101" s="224"/>
      <c r="BU101" s="224"/>
      <c r="BV101" s="224"/>
      <c r="BX101" s="208"/>
    </row>
    <row r="102" spans="2:76" x14ac:dyDescent="0.2">
      <c r="B102" s="210"/>
      <c r="C102" s="203"/>
      <c r="D102" s="203"/>
      <c r="E102" s="261"/>
      <c r="F102" s="224"/>
      <c r="G102" s="224"/>
      <c r="H102" s="224"/>
      <c r="I102" s="224"/>
      <c r="J102" s="224"/>
      <c r="K102" s="224"/>
      <c r="L102" s="224"/>
      <c r="M102" s="224"/>
      <c r="N102" s="224"/>
      <c r="O102" s="224"/>
      <c r="P102" s="224"/>
      <c r="Q102" s="224"/>
      <c r="R102" s="224"/>
      <c r="S102" s="224"/>
      <c r="T102" s="224"/>
      <c r="U102" s="224"/>
      <c r="V102" s="224"/>
      <c r="W102" s="224"/>
      <c r="X102" s="224"/>
      <c r="Y102" s="224"/>
      <c r="Z102" s="224"/>
      <c r="AA102" s="224"/>
      <c r="AB102" s="224"/>
      <c r="AC102" s="224"/>
      <c r="AD102" s="224"/>
      <c r="AE102" s="224"/>
      <c r="AF102" s="224"/>
      <c r="AG102" s="224"/>
      <c r="AH102" s="224"/>
      <c r="AI102" s="224"/>
      <c r="AJ102" s="224"/>
      <c r="AK102" s="224"/>
      <c r="AL102" s="224"/>
      <c r="AM102" s="224"/>
      <c r="AN102" s="224"/>
      <c r="AO102" s="224"/>
      <c r="AP102" s="224"/>
      <c r="AQ102" s="224"/>
      <c r="AR102" s="224"/>
      <c r="AS102" s="224"/>
      <c r="AT102" s="224"/>
      <c r="AU102" s="224"/>
      <c r="AV102" s="224"/>
      <c r="AW102" s="224"/>
      <c r="AX102" s="224"/>
      <c r="AY102" s="224"/>
      <c r="AZ102" s="224"/>
      <c r="BA102" s="224"/>
      <c r="BB102" s="224"/>
      <c r="BC102" s="224"/>
      <c r="BD102" s="224"/>
      <c r="BE102" s="224"/>
      <c r="BF102" s="224"/>
      <c r="BG102" s="224"/>
      <c r="BH102" s="224"/>
      <c r="BI102" s="224"/>
      <c r="BJ102" s="224"/>
      <c r="BK102" s="224"/>
      <c r="BL102" s="224"/>
      <c r="BM102" s="224"/>
      <c r="BN102" s="224"/>
      <c r="BO102" s="224"/>
      <c r="BP102" s="224"/>
      <c r="BQ102" s="224"/>
      <c r="BR102" s="224"/>
      <c r="BS102" s="224"/>
      <c r="BT102" s="224"/>
      <c r="BU102" s="224"/>
      <c r="BV102" s="224"/>
      <c r="BX102" s="208"/>
    </row>
    <row r="103" spans="2:76" x14ac:dyDescent="0.2">
      <c r="B103" s="210"/>
      <c r="C103" s="203"/>
      <c r="D103" s="203"/>
      <c r="E103" s="261"/>
      <c r="F103" s="224"/>
      <c r="G103" s="224"/>
      <c r="H103" s="224"/>
      <c r="I103" s="224"/>
      <c r="J103" s="224"/>
      <c r="K103" s="224"/>
      <c r="L103" s="224"/>
      <c r="M103" s="224"/>
      <c r="N103" s="224"/>
      <c r="O103" s="224"/>
      <c r="P103" s="224"/>
      <c r="Q103" s="224"/>
      <c r="R103" s="224"/>
      <c r="S103" s="224"/>
      <c r="T103" s="224"/>
      <c r="U103" s="224"/>
      <c r="V103" s="224"/>
      <c r="W103" s="224"/>
      <c r="X103" s="224"/>
      <c r="Y103" s="224"/>
      <c r="Z103" s="224"/>
      <c r="AA103" s="224"/>
      <c r="AB103" s="224"/>
      <c r="AC103" s="224"/>
      <c r="AD103" s="224"/>
      <c r="AE103" s="224"/>
      <c r="AF103" s="224"/>
      <c r="AG103" s="224"/>
      <c r="AH103" s="224"/>
      <c r="AI103" s="224"/>
      <c r="AJ103" s="224"/>
      <c r="AK103" s="224"/>
      <c r="AL103" s="224"/>
      <c r="AM103" s="224"/>
      <c r="AN103" s="224"/>
      <c r="AO103" s="224"/>
      <c r="AP103" s="224"/>
      <c r="AQ103" s="224"/>
      <c r="AR103" s="224"/>
      <c r="AS103" s="224"/>
      <c r="AT103" s="224"/>
      <c r="AU103" s="224"/>
      <c r="AV103" s="224"/>
      <c r="AW103" s="224"/>
      <c r="AX103" s="224"/>
      <c r="AY103" s="224"/>
      <c r="AZ103" s="224"/>
      <c r="BA103" s="224"/>
      <c r="BB103" s="224"/>
      <c r="BC103" s="224"/>
      <c r="BD103" s="224"/>
      <c r="BE103" s="224"/>
      <c r="BF103" s="224"/>
      <c r="BG103" s="224"/>
      <c r="BH103" s="224"/>
      <c r="BI103" s="224"/>
      <c r="BJ103" s="224"/>
      <c r="BK103" s="224"/>
      <c r="BL103" s="224"/>
      <c r="BM103" s="224"/>
      <c r="BN103" s="224"/>
      <c r="BO103" s="224"/>
      <c r="BP103" s="224"/>
      <c r="BQ103" s="224"/>
      <c r="BR103" s="224"/>
      <c r="BS103" s="224"/>
      <c r="BT103" s="224"/>
      <c r="BU103" s="224"/>
      <c r="BV103" s="224"/>
      <c r="BX103" s="208"/>
    </row>
    <row r="104" spans="2:76" x14ac:dyDescent="0.2">
      <c r="B104" s="210"/>
      <c r="C104" s="203"/>
      <c r="D104" s="203"/>
      <c r="E104" s="261"/>
      <c r="F104" s="224"/>
      <c r="G104" s="224"/>
      <c r="H104" s="224"/>
      <c r="I104" s="224"/>
      <c r="J104" s="224"/>
      <c r="K104" s="224"/>
      <c r="L104" s="224"/>
      <c r="M104" s="224"/>
      <c r="N104" s="224"/>
      <c r="O104" s="224"/>
      <c r="P104" s="224"/>
      <c r="Q104" s="224"/>
      <c r="R104" s="224"/>
      <c r="S104" s="224"/>
      <c r="T104" s="224"/>
      <c r="U104" s="224"/>
      <c r="V104" s="224"/>
      <c r="W104" s="224"/>
      <c r="X104" s="224"/>
      <c r="Y104" s="224"/>
      <c r="Z104" s="224"/>
      <c r="AA104" s="224"/>
      <c r="AB104" s="224"/>
      <c r="AC104" s="224"/>
      <c r="AD104" s="224"/>
      <c r="AE104" s="224"/>
      <c r="AF104" s="224"/>
      <c r="AG104" s="224"/>
      <c r="AH104" s="224"/>
      <c r="AI104" s="224"/>
      <c r="AJ104" s="224"/>
      <c r="AK104" s="224"/>
      <c r="AL104" s="224"/>
      <c r="AM104" s="224"/>
      <c r="AN104" s="224"/>
      <c r="AO104" s="224"/>
      <c r="AP104" s="224"/>
      <c r="AQ104" s="224"/>
      <c r="AR104" s="224"/>
      <c r="AS104" s="224"/>
      <c r="AT104" s="224"/>
      <c r="AU104" s="224"/>
      <c r="AV104" s="224"/>
      <c r="AW104" s="224"/>
      <c r="AX104" s="224"/>
      <c r="AY104" s="224"/>
      <c r="AZ104" s="224"/>
      <c r="BA104" s="224"/>
      <c r="BB104" s="224"/>
      <c r="BC104" s="224"/>
      <c r="BD104" s="224"/>
      <c r="BE104" s="224"/>
      <c r="BF104" s="224"/>
      <c r="BG104" s="224"/>
      <c r="BH104" s="224"/>
      <c r="BI104" s="224"/>
      <c r="BJ104" s="224"/>
      <c r="BK104" s="224"/>
      <c r="BL104" s="224"/>
      <c r="BM104" s="224"/>
      <c r="BN104" s="224"/>
      <c r="BO104" s="224"/>
      <c r="BP104" s="224"/>
      <c r="BQ104" s="224"/>
      <c r="BR104" s="224"/>
      <c r="BS104" s="224"/>
      <c r="BT104" s="224"/>
      <c r="BU104" s="224"/>
      <c r="BV104" s="224"/>
      <c r="BX104" s="208"/>
    </row>
    <row r="105" spans="2:76" x14ac:dyDescent="0.2">
      <c r="B105" s="210"/>
      <c r="C105" s="203"/>
      <c r="D105" s="203"/>
      <c r="E105" s="261"/>
      <c r="F105" s="224"/>
      <c r="G105" s="224"/>
      <c r="H105" s="224"/>
      <c r="I105" s="224"/>
      <c r="J105" s="224"/>
      <c r="K105" s="224"/>
      <c r="L105" s="224"/>
      <c r="M105" s="224"/>
      <c r="N105" s="224"/>
      <c r="O105" s="224"/>
      <c r="P105" s="224"/>
      <c r="Q105" s="224"/>
      <c r="R105" s="224"/>
      <c r="S105" s="224"/>
      <c r="T105" s="224"/>
      <c r="U105" s="224"/>
      <c r="V105" s="224"/>
      <c r="W105" s="224"/>
      <c r="X105" s="224"/>
      <c r="Y105" s="224"/>
      <c r="Z105" s="224"/>
      <c r="AA105" s="224"/>
      <c r="AB105" s="224"/>
      <c r="AC105" s="224"/>
      <c r="AD105" s="224"/>
      <c r="AE105" s="224"/>
      <c r="AF105" s="224"/>
      <c r="AG105" s="224"/>
      <c r="AH105" s="224"/>
      <c r="AI105" s="224"/>
      <c r="AJ105" s="224"/>
      <c r="AK105" s="224"/>
      <c r="AL105" s="224"/>
      <c r="AM105" s="224"/>
      <c r="AN105" s="224"/>
      <c r="AO105" s="224"/>
      <c r="AP105" s="224"/>
      <c r="AQ105" s="224"/>
      <c r="AR105" s="224"/>
      <c r="AS105" s="224"/>
      <c r="AT105" s="224"/>
      <c r="AU105" s="224"/>
      <c r="AV105" s="224"/>
      <c r="AW105" s="224"/>
      <c r="AX105" s="224"/>
      <c r="AY105" s="224"/>
      <c r="AZ105" s="224"/>
      <c r="BA105" s="224"/>
      <c r="BB105" s="224"/>
      <c r="BC105" s="224"/>
      <c r="BD105" s="224"/>
      <c r="BE105" s="224"/>
      <c r="BF105" s="224"/>
      <c r="BG105" s="224"/>
      <c r="BH105" s="224"/>
      <c r="BI105" s="224"/>
      <c r="BJ105" s="224"/>
      <c r="BK105" s="224"/>
      <c r="BL105" s="224"/>
      <c r="BM105" s="224"/>
      <c r="BN105" s="224"/>
      <c r="BO105" s="224"/>
      <c r="BP105" s="224"/>
      <c r="BQ105" s="224"/>
      <c r="BR105" s="224"/>
      <c r="BS105" s="224"/>
      <c r="BT105" s="224"/>
      <c r="BU105" s="224"/>
      <c r="BV105" s="224"/>
      <c r="BX105" s="208"/>
    </row>
    <row r="106" spans="2:76" x14ac:dyDescent="0.2">
      <c r="B106" s="210"/>
      <c r="C106" s="203"/>
      <c r="D106" s="203"/>
      <c r="E106" s="261"/>
      <c r="F106" s="224"/>
      <c r="G106" s="224"/>
      <c r="H106" s="224"/>
      <c r="I106" s="224"/>
      <c r="J106" s="224"/>
      <c r="K106" s="224"/>
      <c r="L106" s="224"/>
      <c r="M106" s="224"/>
      <c r="N106" s="224"/>
      <c r="O106" s="224"/>
      <c r="P106" s="224"/>
      <c r="Q106" s="224"/>
      <c r="R106" s="224"/>
      <c r="S106" s="224"/>
      <c r="T106" s="224"/>
      <c r="U106" s="224"/>
      <c r="V106" s="224"/>
      <c r="W106" s="224"/>
      <c r="X106" s="224"/>
      <c r="Y106" s="224"/>
      <c r="Z106" s="224"/>
      <c r="AA106" s="224"/>
      <c r="AB106" s="224"/>
      <c r="AC106" s="224"/>
      <c r="AD106" s="224"/>
      <c r="AE106" s="224"/>
      <c r="AF106" s="224"/>
      <c r="AG106" s="224"/>
      <c r="AH106" s="224"/>
      <c r="AI106" s="224"/>
      <c r="AJ106" s="224"/>
      <c r="AK106" s="224"/>
      <c r="AL106" s="224"/>
      <c r="AM106" s="224"/>
      <c r="AN106" s="224"/>
      <c r="AO106" s="224"/>
      <c r="AP106" s="224"/>
      <c r="AQ106" s="224"/>
      <c r="AR106" s="224"/>
      <c r="AS106" s="224"/>
      <c r="AT106" s="224"/>
      <c r="AU106" s="224"/>
      <c r="AV106" s="224"/>
      <c r="AW106" s="224"/>
      <c r="AX106" s="224"/>
      <c r="AY106" s="224"/>
      <c r="AZ106" s="224"/>
      <c r="BA106" s="224"/>
      <c r="BB106" s="224"/>
      <c r="BC106" s="224"/>
      <c r="BD106" s="224"/>
      <c r="BE106" s="224"/>
      <c r="BF106" s="224"/>
      <c r="BG106" s="224"/>
      <c r="BH106" s="224"/>
      <c r="BI106" s="224"/>
      <c r="BJ106" s="224"/>
      <c r="BK106" s="224"/>
      <c r="BL106" s="224"/>
      <c r="BM106" s="224"/>
      <c r="BN106" s="224"/>
      <c r="BO106" s="224"/>
      <c r="BP106" s="224"/>
      <c r="BQ106" s="224"/>
      <c r="BR106" s="224"/>
      <c r="BS106" s="224"/>
      <c r="BT106" s="224"/>
      <c r="BU106" s="224"/>
      <c r="BV106" s="224"/>
      <c r="BX106" s="208"/>
    </row>
    <row r="107" spans="2:76" x14ac:dyDescent="0.2">
      <c r="B107" s="210"/>
      <c r="C107" s="203"/>
      <c r="D107" s="203"/>
      <c r="E107" s="261"/>
      <c r="F107" s="224"/>
      <c r="G107" s="224"/>
      <c r="H107" s="224"/>
      <c r="I107" s="224"/>
      <c r="J107" s="224"/>
      <c r="K107" s="224"/>
      <c r="L107" s="224"/>
      <c r="M107" s="224"/>
      <c r="N107" s="224"/>
      <c r="O107" s="224"/>
      <c r="P107" s="224"/>
      <c r="Q107" s="224"/>
      <c r="R107" s="224"/>
      <c r="S107" s="224"/>
      <c r="T107" s="224"/>
      <c r="U107" s="224"/>
      <c r="V107" s="224"/>
      <c r="W107" s="224"/>
      <c r="X107" s="224"/>
      <c r="Y107" s="224"/>
      <c r="Z107" s="224"/>
      <c r="AA107" s="224"/>
      <c r="AB107" s="224"/>
      <c r="AC107" s="224"/>
      <c r="AD107" s="224"/>
      <c r="AE107" s="224"/>
      <c r="AF107" s="224"/>
      <c r="AG107" s="224"/>
      <c r="AH107" s="224"/>
      <c r="AI107" s="224"/>
      <c r="AJ107" s="224"/>
      <c r="AK107" s="224"/>
      <c r="AL107" s="224"/>
      <c r="AM107" s="224"/>
      <c r="AN107" s="224"/>
      <c r="AO107" s="224"/>
      <c r="AP107" s="224"/>
      <c r="AQ107" s="224"/>
      <c r="AR107" s="224"/>
      <c r="AS107" s="224"/>
      <c r="AT107" s="224"/>
      <c r="AU107" s="224"/>
      <c r="AV107" s="224"/>
      <c r="AW107" s="224"/>
      <c r="AX107" s="224"/>
      <c r="AY107" s="224"/>
      <c r="AZ107" s="224"/>
      <c r="BA107" s="224"/>
      <c r="BB107" s="224"/>
      <c r="BC107" s="224"/>
      <c r="BD107" s="224"/>
      <c r="BE107" s="224"/>
      <c r="BF107" s="224"/>
      <c r="BG107" s="224"/>
      <c r="BH107" s="224"/>
      <c r="BI107" s="224"/>
      <c r="BJ107" s="224"/>
      <c r="BK107" s="224"/>
      <c r="BL107" s="224"/>
      <c r="BM107" s="224"/>
      <c r="BN107" s="224"/>
      <c r="BO107" s="224"/>
      <c r="BP107" s="224"/>
      <c r="BQ107" s="224"/>
      <c r="BR107" s="224"/>
      <c r="BS107" s="224"/>
      <c r="BT107" s="224"/>
      <c r="BU107" s="224"/>
      <c r="BV107" s="224"/>
      <c r="BX107" s="208"/>
    </row>
    <row r="108" spans="2:76" x14ac:dyDescent="0.2">
      <c r="B108" s="210"/>
      <c r="C108" s="203"/>
      <c r="D108" s="203"/>
      <c r="E108" s="261"/>
      <c r="F108" s="224"/>
      <c r="G108" s="224"/>
      <c r="H108" s="224"/>
      <c r="I108" s="224"/>
      <c r="J108" s="224"/>
      <c r="K108" s="224"/>
      <c r="L108" s="224"/>
      <c r="M108" s="224"/>
      <c r="N108" s="224"/>
      <c r="O108" s="224"/>
      <c r="P108" s="224"/>
      <c r="Q108" s="224"/>
      <c r="R108" s="224"/>
      <c r="S108" s="224"/>
      <c r="T108" s="224"/>
      <c r="U108" s="224"/>
      <c r="V108" s="224"/>
      <c r="W108" s="224"/>
      <c r="X108" s="224"/>
      <c r="Y108" s="224"/>
      <c r="Z108" s="224"/>
      <c r="AA108" s="224"/>
      <c r="AB108" s="224"/>
      <c r="AC108" s="224"/>
      <c r="AD108" s="224"/>
      <c r="AE108" s="224"/>
      <c r="AF108" s="224"/>
      <c r="AG108" s="224"/>
      <c r="AH108" s="224"/>
      <c r="AI108" s="224"/>
      <c r="AJ108" s="224"/>
      <c r="AK108" s="224"/>
      <c r="AL108" s="224"/>
      <c r="AM108" s="224"/>
      <c r="AN108" s="224"/>
      <c r="AO108" s="224"/>
      <c r="AP108" s="224"/>
      <c r="AQ108" s="224"/>
      <c r="AR108" s="224"/>
      <c r="AS108" s="224"/>
      <c r="AT108" s="224"/>
      <c r="AU108" s="224"/>
      <c r="AV108" s="224"/>
      <c r="AW108" s="224"/>
      <c r="AX108" s="224"/>
      <c r="AY108" s="224"/>
      <c r="AZ108" s="224"/>
      <c r="BA108" s="224"/>
      <c r="BB108" s="224"/>
      <c r="BC108" s="224"/>
      <c r="BD108" s="224"/>
      <c r="BE108" s="224"/>
      <c r="BF108" s="224"/>
      <c r="BG108" s="224"/>
      <c r="BH108" s="224"/>
      <c r="BI108" s="224"/>
      <c r="BJ108" s="224"/>
      <c r="BK108" s="224"/>
      <c r="BL108" s="224"/>
      <c r="BM108" s="224"/>
      <c r="BN108" s="224"/>
      <c r="BO108" s="224"/>
      <c r="BP108" s="224"/>
      <c r="BQ108" s="224"/>
      <c r="BR108" s="224"/>
      <c r="BS108" s="224"/>
      <c r="BT108" s="224"/>
      <c r="BU108" s="224"/>
      <c r="BV108" s="224"/>
      <c r="BX108" s="208"/>
    </row>
    <row r="109" spans="2:76" x14ac:dyDescent="0.2">
      <c r="B109" s="210"/>
      <c r="C109" s="203"/>
      <c r="D109" s="203"/>
      <c r="E109" s="261"/>
      <c r="F109" s="224"/>
      <c r="G109" s="224"/>
      <c r="H109" s="224"/>
      <c r="I109" s="224"/>
      <c r="J109" s="224"/>
      <c r="K109" s="224"/>
      <c r="L109" s="224"/>
      <c r="M109" s="224"/>
      <c r="N109" s="224"/>
      <c r="O109" s="224"/>
      <c r="P109" s="224"/>
      <c r="Q109" s="224"/>
      <c r="R109" s="224"/>
      <c r="S109" s="224"/>
      <c r="T109" s="224"/>
      <c r="U109" s="224"/>
      <c r="V109" s="224"/>
      <c r="W109" s="224"/>
      <c r="X109" s="224"/>
      <c r="Y109" s="224"/>
      <c r="Z109" s="224"/>
      <c r="AA109" s="224"/>
      <c r="AB109" s="224"/>
      <c r="AC109" s="224"/>
      <c r="AD109" s="224"/>
      <c r="AE109" s="224"/>
      <c r="AF109" s="224"/>
      <c r="AG109" s="224"/>
      <c r="AH109" s="224"/>
      <c r="AI109" s="224"/>
      <c r="AJ109" s="224"/>
      <c r="AK109" s="224"/>
      <c r="AL109" s="224"/>
      <c r="AM109" s="224"/>
      <c r="AN109" s="224"/>
      <c r="AO109" s="224"/>
      <c r="AP109" s="224"/>
      <c r="AQ109" s="224"/>
      <c r="AR109" s="224"/>
      <c r="AS109" s="224"/>
      <c r="AT109" s="224"/>
      <c r="AU109" s="224"/>
      <c r="AV109" s="224"/>
      <c r="AW109" s="224"/>
      <c r="AX109" s="224"/>
      <c r="AY109" s="224"/>
      <c r="AZ109" s="224"/>
      <c r="BA109" s="224"/>
      <c r="BB109" s="224"/>
      <c r="BC109" s="224"/>
      <c r="BD109" s="224"/>
      <c r="BE109" s="224"/>
      <c r="BF109" s="224"/>
      <c r="BG109" s="224"/>
      <c r="BH109" s="224"/>
      <c r="BI109" s="224"/>
      <c r="BJ109" s="224"/>
      <c r="BK109" s="224"/>
      <c r="BL109" s="224"/>
      <c r="BM109" s="224"/>
      <c r="BN109" s="224"/>
      <c r="BO109" s="224"/>
      <c r="BP109" s="224"/>
      <c r="BQ109" s="224"/>
      <c r="BR109" s="224"/>
      <c r="BS109" s="224"/>
      <c r="BT109" s="224"/>
      <c r="BU109" s="224"/>
      <c r="BV109" s="224"/>
      <c r="BX109" s="208"/>
    </row>
    <row r="110" spans="2:76" x14ac:dyDescent="0.2">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X110" s="208"/>
    </row>
    <row r="111" spans="2:76" x14ac:dyDescent="0.2">
      <c r="BX111" s="208"/>
    </row>
    <row r="112" spans="2:76" x14ac:dyDescent="0.2">
      <c r="BX112" s="208"/>
    </row>
    <row r="113" spans="2:76" x14ac:dyDescent="0.2">
      <c r="BX113" s="208"/>
    </row>
    <row r="114" spans="2:76" x14ac:dyDescent="0.2">
      <c r="BX114" s="208"/>
    </row>
    <row r="115" spans="2:76" x14ac:dyDescent="0.2">
      <c r="BX115" s="208"/>
    </row>
    <row r="116" spans="2:76" x14ac:dyDescent="0.2">
      <c r="BX116" s="208"/>
    </row>
    <row r="117" spans="2:76" x14ac:dyDescent="0.2">
      <c r="BX117" s="208"/>
    </row>
    <row r="118" spans="2:76" x14ac:dyDescent="0.2">
      <c r="BX118" s="208"/>
    </row>
    <row r="119" spans="2:76" x14ac:dyDescent="0.2">
      <c r="BX119" s="208"/>
    </row>
    <row r="120" spans="2:76" x14ac:dyDescent="0.2">
      <c r="BX120" s="208"/>
    </row>
    <row r="121" spans="2:76" x14ac:dyDescent="0.2">
      <c r="BX121" s="208"/>
    </row>
    <row r="122" spans="2:76" x14ac:dyDescent="0.2">
      <c r="BX122" s="208"/>
    </row>
    <row r="123" spans="2:76" x14ac:dyDescent="0.2">
      <c r="BX123" s="208"/>
    </row>
    <row r="124" spans="2:76" x14ac:dyDescent="0.2">
      <c r="E124" s="262"/>
      <c r="F124" s="262"/>
      <c r="G124" s="262"/>
      <c r="H124" s="262"/>
      <c r="I124" s="262"/>
      <c r="J124" s="262"/>
      <c r="K124" s="262"/>
      <c r="L124" s="262"/>
      <c r="M124" s="262"/>
      <c r="N124" s="262"/>
      <c r="O124" s="262"/>
      <c r="P124" s="262"/>
      <c r="Q124" s="262"/>
      <c r="R124" s="262"/>
      <c r="S124" s="262"/>
      <c r="T124" s="262"/>
      <c r="U124" s="262"/>
      <c r="V124" s="262"/>
      <c r="W124" s="262"/>
      <c r="X124" s="262"/>
      <c r="Y124" s="262"/>
      <c r="Z124" s="262"/>
      <c r="AA124" s="262"/>
      <c r="AB124" s="262"/>
      <c r="AC124" s="262"/>
      <c r="AD124" s="262"/>
      <c r="AE124" s="262"/>
      <c r="AF124" s="262"/>
      <c r="AG124" s="262"/>
      <c r="AH124" s="262"/>
      <c r="AI124" s="262"/>
      <c r="AJ124" s="262"/>
      <c r="AK124" s="262"/>
      <c r="AL124" s="262"/>
      <c r="AM124" s="262"/>
      <c r="AN124" s="262"/>
      <c r="AO124" s="262"/>
      <c r="AP124" s="262"/>
      <c r="AQ124" s="262"/>
      <c r="AR124" s="262"/>
      <c r="AS124" s="262"/>
      <c r="AT124" s="262"/>
      <c r="AU124" s="262"/>
      <c r="AV124" s="262"/>
      <c r="AW124" s="262"/>
      <c r="AX124" s="262"/>
      <c r="AY124" s="262"/>
      <c r="AZ124" s="262"/>
      <c r="BA124" s="262"/>
      <c r="BB124" s="262"/>
      <c r="BC124" s="262"/>
      <c r="BD124" s="262"/>
      <c r="BE124" s="262"/>
      <c r="BF124" s="262"/>
      <c r="BG124" s="262"/>
      <c r="BH124" s="262"/>
      <c r="BI124" s="262"/>
      <c r="BJ124" s="262"/>
      <c r="BK124" s="262"/>
      <c r="BL124" s="262"/>
      <c r="BM124" s="262"/>
      <c r="BN124" s="262"/>
      <c r="BO124" s="262"/>
      <c r="BP124" s="262"/>
      <c r="BQ124" s="262"/>
      <c r="BR124" s="262"/>
      <c r="BS124" s="262"/>
      <c r="BT124" s="262"/>
      <c r="BU124" s="262"/>
      <c r="BV124" s="262"/>
      <c r="BX124" s="208"/>
    </row>
    <row r="125" spans="2:76" x14ac:dyDescent="0.2">
      <c r="E125" s="262"/>
      <c r="F125" s="262"/>
      <c r="G125" s="262"/>
      <c r="H125" s="262"/>
      <c r="I125" s="262"/>
      <c r="J125" s="262"/>
      <c r="K125" s="262"/>
      <c r="L125" s="262"/>
      <c r="M125" s="262"/>
      <c r="N125" s="262"/>
      <c r="O125" s="262"/>
      <c r="P125" s="262"/>
      <c r="Q125" s="262"/>
      <c r="R125" s="262"/>
      <c r="S125" s="262"/>
      <c r="T125" s="262"/>
      <c r="U125" s="262"/>
      <c r="V125" s="262"/>
      <c r="W125" s="262"/>
      <c r="X125" s="262"/>
      <c r="Y125" s="262"/>
      <c r="Z125" s="262"/>
      <c r="AA125" s="262"/>
      <c r="AB125" s="262"/>
      <c r="AC125" s="262"/>
      <c r="AD125" s="262"/>
      <c r="AE125" s="262"/>
      <c r="AF125" s="262"/>
      <c r="AG125" s="262"/>
      <c r="AH125" s="262"/>
      <c r="AI125" s="262"/>
      <c r="AJ125" s="262"/>
      <c r="AK125" s="262"/>
      <c r="AL125" s="262"/>
      <c r="AM125" s="262"/>
      <c r="AN125" s="262"/>
      <c r="AO125" s="262"/>
      <c r="AP125" s="262"/>
      <c r="AQ125" s="262"/>
      <c r="AR125" s="262"/>
      <c r="AS125" s="262"/>
      <c r="AT125" s="262"/>
      <c r="AU125" s="262"/>
      <c r="AV125" s="262"/>
      <c r="AW125" s="262"/>
      <c r="AX125" s="262"/>
      <c r="AY125" s="262"/>
      <c r="AZ125" s="262"/>
      <c r="BA125" s="262"/>
      <c r="BB125" s="262"/>
      <c r="BC125" s="262"/>
      <c r="BD125" s="262"/>
      <c r="BE125" s="262"/>
      <c r="BF125" s="262"/>
      <c r="BG125" s="262"/>
      <c r="BH125" s="262"/>
      <c r="BI125" s="262"/>
      <c r="BJ125" s="262"/>
      <c r="BK125" s="262"/>
      <c r="BL125" s="262"/>
      <c r="BM125" s="262"/>
      <c r="BN125" s="262"/>
      <c r="BO125" s="262"/>
      <c r="BP125" s="262"/>
      <c r="BQ125" s="262"/>
      <c r="BR125" s="262"/>
      <c r="BS125" s="262"/>
      <c r="BT125" s="262"/>
      <c r="BU125" s="262"/>
      <c r="BV125" s="262"/>
      <c r="BX125" s="208"/>
    </row>
    <row r="126" spans="2:76" x14ac:dyDescent="0.2">
      <c r="B126" s="210"/>
      <c r="C126" s="203"/>
      <c r="D126" s="203"/>
      <c r="E126" s="261"/>
      <c r="F126" s="224"/>
      <c r="G126" s="224"/>
      <c r="H126" s="224"/>
      <c r="I126" s="224"/>
      <c r="J126" s="224"/>
      <c r="K126" s="224"/>
      <c r="L126" s="224"/>
      <c r="M126" s="224"/>
      <c r="N126" s="224"/>
      <c r="O126" s="224"/>
      <c r="P126" s="224"/>
      <c r="Q126" s="224"/>
      <c r="R126" s="224"/>
      <c r="S126" s="224"/>
      <c r="T126" s="224"/>
      <c r="U126" s="224"/>
      <c r="V126" s="224"/>
      <c r="W126" s="224"/>
      <c r="X126" s="224"/>
      <c r="Y126" s="224"/>
      <c r="Z126" s="224"/>
      <c r="AA126" s="224"/>
      <c r="AB126" s="224"/>
      <c r="AC126" s="224"/>
      <c r="AD126" s="224"/>
      <c r="AE126" s="224"/>
      <c r="AF126" s="224"/>
      <c r="AG126" s="224"/>
      <c r="AH126" s="224"/>
      <c r="AI126" s="224"/>
      <c r="AJ126" s="224"/>
      <c r="AK126" s="224"/>
      <c r="AL126" s="224"/>
      <c r="AM126" s="224"/>
      <c r="AN126" s="224"/>
      <c r="AO126" s="224"/>
      <c r="AP126" s="224"/>
      <c r="AQ126" s="224"/>
      <c r="AR126" s="224"/>
      <c r="AS126" s="224"/>
      <c r="AT126" s="224"/>
      <c r="AU126" s="224"/>
      <c r="AV126" s="224"/>
      <c r="AW126" s="224"/>
      <c r="AX126" s="224"/>
      <c r="AY126" s="224"/>
      <c r="AZ126" s="224"/>
      <c r="BA126" s="224"/>
      <c r="BB126" s="224"/>
      <c r="BC126" s="224"/>
      <c r="BD126" s="224"/>
      <c r="BE126" s="224"/>
      <c r="BF126" s="224"/>
      <c r="BG126" s="224"/>
      <c r="BH126" s="224"/>
      <c r="BI126" s="224"/>
      <c r="BJ126" s="224"/>
      <c r="BK126" s="224"/>
      <c r="BL126" s="224"/>
      <c r="BM126" s="224"/>
      <c r="BN126" s="224"/>
      <c r="BO126" s="224"/>
      <c r="BP126" s="224"/>
      <c r="BQ126" s="224"/>
      <c r="BR126" s="224"/>
      <c r="BS126" s="224"/>
      <c r="BT126" s="224"/>
      <c r="BU126" s="224"/>
      <c r="BV126" s="224"/>
      <c r="BX126" s="208"/>
    </row>
    <row r="127" spans="2:76" x14ac:dyDescent="0.2">
      <c r="B127" s="210"/>
      <c r="C127" s="210"/>
      <c r="D127" s="210"/>
      <c r="E127" s="261"/>
      <c r="F127" s="224"/>
      <c r="G127" s="224"/>
      <c r="H127" s="224"/>
      <c r="I127" s="224"/>
      <c r="J127" s="224"/>
      <c r="K127" s="224"/>
      <c r="L127" s="224"/>
      <c r="M127" s="224"/>
      <c r="N127" s="224"/>
      <c r="O127" s="224"/>
      <c r="P127" s="224"/>
      <c r="Q127" s="224"/>
      <c r="R127" s="224"/>
      <c r="S127" s="224"/>
      <c r="T127" s="224"/>
      <c r="U127" s="224"/>
      <c r="V127" s="224"/>
      <c r="W127" s="224"/>
      <c r="X127" s="224"/>
      <c r="Y127" s="224"/>
      <c r="Z127" s="224"/>
      <c r="AA127" s="224"/>
      <c r="AB127" s="224"/>
      <c r="AC127" s="224"/>
      <c r="AD127" s="224"/>
      <c r="AE127" s="224"/>
      <c r="AF127" s="224"/>
      <c r="AG127" s="224"/>
      <c r="AH127" s="224"/>
      <c r="AI127" s="224"/>
      <c r="AJ127" s="224"/>
      <c r="AK127" s="224"/>
      <c r="AL127" s="224"/>
      <c r="AM127" s="224"/>
      <c r="AN127" s="224"/>
      <c r="AO127" s="224"/>
      <c r="AP127" s="224"/>
      <c r="AQ127" s="224"/>
      <c r="AR127" s="224"/>
      <c r="AS127" s="224"/>
      <c r="AT127" s="224"/>
      <c r="AU127" s="224"/>
      <c r="AV127" s="224"/>
      <c r="AW127" s="224"/>
      <c r="AX127" s="224"/>
      <c r="AY127" s="224"/>
      <c r="AZ127" s="224"/>
      <c r="BA127" s="224"/>
      <c r="BB127" s="224"/>
      <c r="BC127" s="224"/>
      <c r="BD127" s="224"/>
      <c r="BE127" s="224"/>
      <c r="BF127" s="224"/>
      <c r="BG127" s="224"/>
      <c r="BH127" s="224"/>
      <c r="BI127" s="224"/>
      <c r="BJ127" s="224"/>
      <c r="BK127" s="224"/>
      <c r="BL127" s="224"/>
      <c r="BM127" s="224"/>
      <c r="BN127" s="224"/>
      <c r="BO127" s="224"/>
      <c r="BP127" s="224"/>
      <c r="BQ127" s="224"/>
      <c r="BR127" s="224"/>
      <c r="BS127" s="224"/>
      <c r="BT127" s="224"/>
      <c r="BU127" s="224"/>
      <c r="BV127" s="224"/>
      <c r="BX127" s="208"/>
    </row>
    <row r="128" spans="2:76" x14ac:dyDescent="0.2">
      <c r="B128" s="210"/>
      <c r="C128" s="203"/>
      <c r="D128" s="203"/>
      <c r="E128" s="261"/>
      <c r="F128" s="224"/>
      <c r="G128" s="224"/>
      <c r="H128" s="224"/>
      <c r="I128" s="224"/>
      <c r="J128" s="224"/>
      <c r="K128" s="224"/>
      <c r="L128" s="224"/>
      <c r="M128" s="224"/>
      <c r="N128" s="224"/>
      <c r="O128" s="224"/>
      <c r="P128" s="224"/>
      <c r="Q128" s="224"/>
      <c r="R128" s="224"/>
      <c r="S128" s="224"/>
      <c r="T128" s="224"/>
      <c r="U128" s="224"/>
      <c r="V128" s="224"/>
      <c r="W128" s="224"/>
      <c r="X128" s="224"/>
      <c r="Y128" s="224"/>
      <c r="Z128" s="224"/>
      <c r="AA128" s="224"/>
      <c r="AB128" s="224"/>
      <c r="AC128" s="224"/>
      <c r="AD128" s="224"/>
      <c r="AE128" s="224"/>
      <c r="AF128" s="224"/>
      <c r="AG128" s="224"/>
      <c r="AH128" s="224"/>
      <c r="AI128" s="224"/>
      <c r="AJ128" s="224"/>
      <c r="AK128" s="224"/>
      <c r="AL128" s="224"/>
      <c r="AM128" s="224"/>
      <c r="AN128" s="224"/>
      <c r="AO128" s="224"/>
      <c r="AP128" s="224"/>
      <c r="AQ128" s="224"/>
      <c r="AR128" s="224"/>
      <c r="AS128" s="224"/>
      <c r="AT128" s="224"/>
      <c r="AU128" s="224"/>
      <c r="AV128" s="224"/>
      <c r="AW128" s="224"/>
      <c r="AX128" s="224"/>
      <c r="AY128" s="224"/>
      <c r="AZ128" s="224"/>
      <c r="BA128" s="224"/>
      <c r="BB128" s="224"/>
      <c r="BC128" s="224"/>
      <c r="BD128" s="224"/>
      <c r="BE128" s="224"/>
      <c r="BF128" s="224"/>
      <c r="BG128" s="224"/>
      <c r="BH128" s="224"/>
      <c r="BI128" s="224"/>
      <c r="BJ128" s="224"/>
      <c r="BK128" s="224"/>
      <c r="BL128" s="224"/>
      <c r="BM128" s="224"/>
      <c r="BN128" s="224"/>
      <c r="BO128" s="224"/>
      <c r="BP128" s="224"/>
      <c r="BQ128" s="224"/>
      <c r="BR128" s="224"/>
      <c r="BS128" s="224"/>
      <c r="BT128" s="224"/>
      <c r="BU128" s="224"/>
      <c r="BV128" s="224"/>
      <c r="BX128" s="208"/>
    </row>
    <row r="129" spans="2:76" x14ac:dyDescent="0.2">
      <c r="C129" s="203"/>
      <c r="D129" s="203"/>
      <c r="E129" s="261"/>
      <c r="F129" s="224"/>
      <c r="G129" s="224"/>
      <c r="H129" s="224"/>
      <c r="I129" s="224"/>
      <c r="J129" s="224"/>
      <c r="K129" s="224"/>
      <c r="L129" s="224"/>
      <c r="M129" s="224"/>
      <c r="N129" s="224"/>
      <c r="O129" s="224"/>
      <c r="P129" s="224"/>
      <c r="Q129" s="224"/>
      <c r="R129" s="224"/>
      <c r="S129" s="224"/>
      <c r="T129" s="224"/>
      <c r="U129" s="224"/>
      <c r="V129" s="224"/>
      <c r="W129" s="224"/>
      <c r="X129" s="224"/>
      <c r="Y129" s="224"/>
      <c r="Z129" s="224"/>
      <c r="AA129" s="224"/>
      <c r="AB129" s="224"/>
      <c r="AC129" s="224"/>
      <c r="AD129" s="224"/>
      <c r="AE129" s="224"/>
      <c r="AF129" s="224"/>
      <c r="AG129" s="224"/>
      <c r="AH129" s="224"/>
      <c r="AI129" s="224"/>
      <c r="AJ129" s="224"/>
      <c r="AK129" s="224"/>
      <c r="AL129" s="224"/>
      <c r="AM129" s="224"/>
      <c r="AN129" s="224"/>
      <c r="AO129" s="224"/>
      <c r="AP129" s="224"/>
      <c r="AQ129" s="224"/>
      <c r="AR129" s="224"/>
      <c r="AS129" s="224"/>
      <c r="AT129" s="224"/>
      <c r="AU129" s="224"/>
      <c r="AV129" s="224"/>
      <c r="AW129" s="224"/>
      <c r="AX129" s="224"/>
      <c r="AY129" s="224"/>
      <c r="AZ129" s="224"/>
      <c r="BA129" s="224"/>
      <c r="BB129" s="224"/>
      <c r="BC129" s="224"/>
      <c r="BD129" s="224"/>
      <c r="BE129" s="224"/>
      <c r="BF129" s="224"/>
      <c r="BG129" s="224"/>
      <c r="BH129" s="224"/>
      <c r="BI129" s="224"/>
      <c r="BJ129" s="224"/>
      <c r="BK129" s="224"/>
      <c r="BL129" s="224"/>
      <c r="BM129" s="224"/>
      <c r="BN129" s="224"/>
      <c r="BO129" s="224"/>
      <c r="BP129" s="224"/>
      <c r="BQ129" s="224"/>
      <c r="BR129" s="224"/>
      <c r="BS129" s="224"/>
      <c r="BT129" s="224"/>
      <c r="BU129" s="224"/>
      <c r="BV129" s="224"/>
      <c r="BX129" s="208"/>
    </row>
    <row r="130" spans="2:76" x14ac:dyDescent="0.2">
      <c r="B130" s="210"/>
      <c r="C130" s="203"/>
      <c r="D130" s="203"/>
      <c r="E130" s="261"/>
      <c r="F130" s="224"/>
      <c r="G130" s="224"/>
      <c r="H130" s="224"/>
      <c r="I130" s="224"/>
      <c r="J130" s="224"/>
      <c r="K130" s="224"/>
      <c r="L130" s="224"/>
      <c r="M130" s="224"/>
      <c r="N130" s="224"/>
      <c r="O130" s="224"/>
      <c r="P130" s="224"/>
      <c r="Q130" s="224"/>
      <c r="R130" s="224"/>
      <c r="S130" s="224"/>
      <c r="T130" s="224"/>
      <c r="U130" s="224"/>
      <c r="V130" s="224"/>
      <c r="W130" s="224"/>
      <c r="X130" s="224"/>
      <c r="Y130" s="224"/>
      <c r="Z130" s="224"/>
      <c r="AA130" s="224"/>
      <c r="AB130" s="224"/>
      <c r="AC130" s="224"/>
      <c r="AD130" s="224"/>
      <c r="AE130" s="224"/>
      <c r="AF130" s="224"/>
      <c r="AG130" s="224"/>
      <c r="AH130" s="224"/>
      <c r="AI130" s="224"/>
      <c r="AJ130" s="224"/>
      <c r="AK130" s="224"/>
      <c r="AL130" s="224"/>
      <c r="AM130" s="224"/>
      <c r="AN130" s="224"/>
      <c r="AO130" s="224"/>
      <c r="AP130" s="224"/>
      <c r="AQ130" s="224"/>
      <c r="AR130" s="224"/>
      <c r="AS130" s="224"/>
      <c r="AT130" s="224"/>
      <c r="AU130" s="224"/>
      <c r="AV130" s="224"/>
      <c r="AW130" s="224"/>
      <c r="AX130" s="224"/>
      <c r="AY130" s="224"/>
      <c r="AZ130" s="224"/>
      <c r="BA130" s="224"/>
      <c r="BB130" s="224"/>
      <c r="BC130" s="224"/>
      <c r="BD130" s="224"/>
      <c r="BE130" s="224"/>
      <c r="BF130" s="224"/>
      <c r="BG130" s="224"/>
      <c r="BH130" s="224"/>
      <c r="BI130" s="224"/>
      <c r="BJ130" s="224"/>
      <c r="BK130" s="224"/>
      <c r="BL130" s="224"/>
      <c r="BM130" s="224"/>
      <c r="BN130" s="224"/>
      <c r="BO130" s="224"/>
      <c r="BP130" s="224"/>
      <c r="BQ130" s="224"/>
      <c r="BR130" s="224"/>
      <c r="BS130" s="224"/>
      <c r="BT130" s="224"/>
      <c r="BU130" s="224"/>
      <c r="BV130" s="224"/>
      <c r="BX130" s="208"/>
    </row>
    <row r="131" spans="2:76" x14ac:dyDescent="0.2">
      <c r="B131" s="210"/>
      <c r="C131" s="203"/>
      <c r="D131" s="203"/>
      <c r="E131" s="261"/>
      <c r="F131" s="224"/>
      <c r="G131" s="224"/>
      <c r="H131" s="224"/>
      <c r="I131" s="224"/>
      <c r="J131" s="224"/>
      <c r="K131" s="224"/>
      <c r="L131" s="224"/>
      <c r="M131" s="224"/>
      <c r="N131" s="224"/>
      <c r="O131" s="224"/>
      <c r="P131" s="224"/>
      <c r="Q131" s="224"/>
      <c r="R131" s="224"/>
      <c r="S131" s="224"/>
      <c r="T131" s="224"/>
      <c r="U131" s="224"/>
      <c r="V131" s="224"/>
      <c r="W131" s="224"/>
      <c r="X131" s="224"/>
      <c r="Y131" s="224"/>
      <c r="Z131" s="224"/>
      <c r="AA131" s="224"/>
      <c r="AB131" s="224"/>
      <c r="AC131" s="224"/>
      <c r="AD131" s="224"/>
      <c r="AE131" s="224"/>
      <c r="AF131" s="224"/>
      <c r="AG131" s="224"/>
      <c r="AH131" s="224"/>
      <c r="AI131" s="224"/>
      <c r="AJ131" s="224"/>
      <c r="AK131" s="224"/>
      <c r="AL131" s="224"/>
      <c r="AM131" s="224"/>
      <c r="AN131" s="224"/>
      <c r="AO131" s="224"/>
      <c r="AP131" s="224"/>
      <c r="AQ131" s="224"/>
      <c r="AR131" s="224"/>
      <c r="AS131" s="224"/>
      <c r="AT131" s="224"/>
      <c r="AU131" s="224"/>
      <c r="AV131" s="224"/>
      <c r="AW131" s="224"/>
      <c r="AX131" s="224"/>
      <c r="AY131" s="224"/>
      <c r="AZ131" s="224"/>
      <c r="BA131" s="224"/>
      <c r="BB131" s="224"/>
      <c r="BC131" s="224"/>
      <c r="BD131" s="224"/>
      <c r="BE131" s="224"/>
      <c r="BF131" s="224"/>
      <c r="BG131" s="224"/>
      <c r="BH131" s="224"/>
      <c r="BI131" s="224"/>
      <c r="BJ131" s="224"/>
      <c r="BK131" s="224"/>
      <c r="BL131" s="224"/>
      <c r="BM131" s="224"/>
      <c r="BN131" s="224"/>
      <c r="BO131" s="224"/>
      <c r="BP131" s="224"/>
      <c r="BQ131" s="224"/>
      <c r="BR131" s="224"/>
      <c r="BS131" s="224"/>
      <c r="BT131" s="224"/>
      <c r="BU131" s="224"/>
      <c r="BV131" s="224"/>
      <c r="BX131" s="208"/>
    </row>
    <row r="132" spans="2:76" x14ac:dyDescent="0.2">
      <c r="B132" s="210"/>
      <c r="C132" s="203"/>
      <c r="D132" s="203"/>
      <c r="E132" s="261"/>
      <c r="F132" s="224"/>
      <c r="G132" s="224"/>
      <c r="H132" s="224"/>
      <c r="I132" s="224"/>
      <c r="J132" s="224"/>
      <c r="K132" s="224"/>
      <c r="L132" s="224"/>
      <c r="M132" s="224"/>
      <c r="N132" s="224"/>
      <c r="O132" s="224"/>
      <c r="P132" s="224"/>
      <c r="Q132" s="224"/>
      <c r="R132" s="224"/>
      <c r="S132" s="224"/>
      <c r="T132" s="224"/>
      <c r="U132" s="224"/>
      <c r="V132" s="224"/>
      <c r="W132" s="224"/>
      <c r="X132" s="224"/>
      <c r="Y132" s="224"/>
      <c r="Z132" s="224"/>
      <c r="AA132" s="224"/>
      <c r="AB132" s="224"/>
      <c r="AC132" s="224"/>
      <c r="AD132" s="224"/>
      <c r="AE132" s="224"/>
      <c r="AF132" s="224"/>
      <c r="AG132" s="224"/>
      <c r="AH132" s="224"/>
      <c r="AI132" s="224"/>
      <c r="AJ132" s="224"/>
      <c r="AK132" s="224"/>
      <c r="AL132" s="224"/>
      <c r="AM132" s="224"/>
      <c r="AN132" s="224"/>
      <c r="AO132" s="224"/>
      <c r="AP132" s="224"/>
      <c r="AQ132" s="224"/>
      <c r="AR132" s="224"/>
      <c r="AS132" s="224"/>
      <c r="AT132" s="224"/>
      <c r="AU132" s="224"/>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4"/>
      <c r="BT132" s="224"/>
      <c r="BU132" s="224"/>
      <c r="BV132" s="224"/>
      <c r="BX132" s="208"/>
    </row>
    <row r="133" spans="2:76" x14ac:dyDescent="0.2">
      <c r="B133" s="210"/>
      <c r="C133" s="203"/>
      <c r="D133" s="203"/>
      <c r="E133" s="261"/>
      <c r="F133" s="224"/>
      <c r="G133" s="224"/>
      <c r="H133" s="224"/>
      <c r="I133" s="224"/>
      <c r="J133" s="224"/>
      <c r="K133" s="224"/>
      <c r="L133" s="224"/>
      <c r="M133" s="224"/>
      <c r="N133" s="224"/>
      <c r="O133" s="224"/>
      <c r="P133" s="224"/>
      <c r="Q133" s="224"/>
      <c r="R133" s="224"/>
      <c r="S133" s="224"/>
      <c r="T133" s="224"/>
      <c r="U133" s="224"/>
      <c r="V133" s="224"/>
      <c r="W133" s="224"/>
      <c r="X133" s="224"/>
      <c r="Y133" s="224"/>
      <c r="Z133" s="224"/>
      <c r="AA133" s="224"/>
      <c r="AB133" s="224"/>
      <c r="AC133" s="224"/>
      <c r="AD133" s="224"/>
      <c r="AE133" s="224"/>
      <c r="AF133" s="224"/>
      <c r="AG133" s="224"/>
      <c r="AH133" s="224"/>
      <c r="AI133" s="224"/>
      <c r="AJ133" s="224"/>
      <c r="AK133" s="224"/>
      <c r="AL133" s="224"/>
      <c r="AM133" s="224"/>
      <c r="AN133" s="224"/>
      <c r="AO133" s="224"/>
      <c r="AP133" s="224"/>
      <c r="AQ133" s="224"/>
      <c r="AR133" s="224"/>
      <c r="AS133" s="224"/>
      <c r="AT133" s="224"/>
      <c r="AU133" s="224"/>
      <c r="AV133" s="224"/>
      <c r="AW133" s="224"/>
      <c r="AX133" s="224"/>
      <c r="AY133" s="224"/>
      <c r="AZ133" s="224"/>
      <c r="BA133" s="224"/>
      <c r="BB133" s="224"/>
      <c r="BC133" s="224"/>
      <c r="BD133" s="224"/>
      <c r="BE133" s="224"/>
      <c r="BF133" s="224"/>
      <c r="BG133" s="224"/>
      <c r="BH133" s="224"/>
      <c r="BI133" s="224"/>
      <c r="BJ133" s="224"/>
      <c r="BK133" s="224"/>
      <c r="BL133" s="224"/>
      <c r="BM133" s="224"/>
      <c r="BN133" s="224"/>
      <c r="BO133" s="224"/>
      <c r="BP133" s="224"/>
      <c r="BQ133" s="224"/>
      <c r="BR133" s="224"/>
      <c r="BS133" s="224"/>
      <c r="BT133" s="224"/>
      <c r="BU133" s="224"/>
      <c r="BV133" s="224"/>
      <c r="BX133" s="208"/>
    </row>
    <row r="134" spans="2:76" x14ac:dyDescent="0.2">
      <c r="B134" s="210"/>
      <c r="C134" s="203"/>
      <c r="D134" s="203"/>
      <c r="E134" s="261"/>
      <c r="F134" s="224"/>
      <c r="G134" s="224"/>
      <c r="H134" s="224"/>
      <c r="I134" s="224"/>
      <c r="J134" s="224"/>
      <c r="K134" s="224"/>
      <c r="L134" s="224"/>
      <c r="M134" s="224"/>
      <c r="N134" s="224"/>
      <c r="O134" s="224"/>
      <c r="P134" s="224"/>
      <c r="Q134" s="224"/>
      <c r="R134" s="224"/>
      <c r="S134" s="224"/>
      <c r="T134" s="224"/>
      <c r="U134" s="224"/>
      <c r="V134" s="224"/>
      <c r="W134" s="224"/>
      <c r="X134" s="224"/>
      <c r="Y134" s="224"/>
      <c r="Z134" s="224"/>
      <c r="AA134" s="224"/>
      <c r="AB134" s="224"/>
      <c r="AC134" s="224"/>
      <c r="AD134" s="224"/>
      <c r="AE134" s="224"/>
      <c r="AF134" s="224"/>
      <c r="AG134" s="224"/>
      <c r="AH134" s="224"/>
      <c r="AI134" s="224"/>
      <c r="AJ134" s="224"/>
      <c r="AK134" s="224"/>
      <c r="AL134" s="224"/>
      <c r="AM134" s="224"/>
      <c r="AN134" s="224"/>
      <c r="AO134" s="224"/>
      <c r="AP134" s="224"/>
      <c r="AQ134" s="224"/>
      <c r="AR134" s="224"/>
      <c r="AS134" s="224"/>
      <c r="AT134" s="224"/>
      <c r="AU134" s="224"/>
      <c r="AV134" s="224"/>
      <c r="AW134" s="224"/>
      <c r="AX134" s="224"/>
      <c r="AY134" s="224"/>
      <c r="AZ134" s="224"/>
      <c r="BA134" s="224"/>
      <c r="BB134" s="224"/>
      <c r="BC134" s="224"/>
      <c r="BD134" s="224"/>
      <c r="BE134" s="224"/>
      <c r="BF134" s="224"/>
      <c r="BG134" s="224"/>
      <c r="BH134" s="224"/>
      <c r="BI134" s="224"/>
      <c r="BJ134" s="224"/>
      <c r="BK134" s="224"/>
      <c r="BL134" s="224"/>
      <c r="BM134" s="224"/>
      <c r="BN134" s="224"/>
      <c r="BO134" s="224"/>
      <c r="BP134" s="224"/>
      <c r="BQ134" s="224"/>
      <c r="BR134" s="224"/>
      <c r="BS134" s="224"/>
      <c r="BT134" s="224"/>
      <c r="BU134" s="224"/>
      <c r="BV134" s="224"/>
      <c r="BX134" s="208"/>
    </row>
    <row r="135" spans="2:76" x14ac:dyDescent="0.2">
      <c r="B135" s="210"/>
      <c r="C135" s="203"/>
      <c r="D135" s="203"/>
      <c r="E135" s="261"/>
      <c r="F135" s="224"/>
      <c r="G135" s="224"/>
      <c r="H135" s="224"/>
      <c r="I135" s="224"/>
      <c r="J135" s="224"/>
      <c r="K135" s="224"/>
      <c r="L135" s="224"/>
      <c r="M135" s="224"/>
      <c r="N135" s="224"/>
      <c r="O135" s="224"/>
      <c r="P135" s="224"/>
      <c r="Q135" s="224"/>
      <c r="R135" s="224"/>
      <c r="S135" s="224"/>
      <c r="T135" s="224"/>
      <c r="U135" s="224"/>
      <c r="V135" s="224"/>
      <c r="W135" s="224"/>
      <c r="X135" s="224"/>
      <c r="Y135" s="224"/>
      <c r="Z135" s="224"/>
      <c r="AA135" s="224"/>
      <c r="AB135" s="224"/>
      <c r="AC135" s="224"/>
      <c r="AD135" s="224"/>
      <c r="AE135" s="224"/>
      <c r="AF135" s="224"/>
      <c r="AG135" s="224"/>
      <c r="AH135" s="224"/>
      <c r="AI135" s="224"/>
      <c r="AJ135" s="224"/>
      <c r="AK135" s="224"/>
      <c r="AL135" s="224"/>
      <c r="AM135" s="224"/>
      <c r="AN135" s="224"/>
      <c r="AO135" s="224"/>
      <c r="AP135" s="224"/>
      <c r="AQ135" s="224"/>
      <c r="AR135" s="224"/>
      <c r="AS135" s="224"/>
      <c r="AT135" s="224"/>
      <c r="AU135" s="224"/>
      <c r="AV135" s="224"/>
      <c r="AW135" s="224"/>
      <c r="AX135" s="224"/>
      <c r="AY135" s="224"/>
      <c r="AZ135" s="224"/>
      <c r="BA135" s="224"/>
      <c r="BB135" s="224"/>
      <c r="BC135" s="224"/>
      <c r="BD135" s="224"/>
      <c r="BE135" s="224"/>
      <c r="BF135" s="224"/>
      <c r="BG135" s="224"/>
      <c r="BH135" s="224"/>
      <c r="BI135" s="224"/>
      <c r="BJ135" s="224"/>
      <c r="BK135" s="224"/>
      <c r="BL135" s="224"/>
      <c r="BM135" s="224"/>
      <c r="BN135" s="224"/>
      <c r="BO135" s="224"/>
      <c r="BP135" s="224"/>
      <c r="BQ135" s="224"/>
      <c r="BR135" s="224"/>
      <c r="BS135" s="224"/>
      <c r="BT135" s="224"/>
      <c r="BU135" s="224"/>
      <c r="BV135" s="224"/>
      <c r="BX135" s="208"/>
    </row>
    <row r="136" spans="2:76" x14ac:dyDescent="0.2">
      <c r="B136" s="210"/>
      <c r="C136" s="203"/>
      <c r="D136" s="203"/>
      <c r="E136" s="261"/>
      <c r="F136" s="224"/>
      <c r="G136" s="224"/>
      <c r="H136" s="224"/>
      <c r="I136" s="224"/>
      <c r="J136" s="224"/>
      <c r="K136" s="224"/>
      <c r="L136" s="224"/>
      <c r="M136" s="224"/>
      <c r="N136" s="224"/>
      <c r="O136" s="224"/>
      <c r="P136" s="224"/>
      <c r="Q136" s="224"/>
      <c r="R136" s="224"/>
      <c r="S136" s="224"/>
      <c r="T136" s="224"/>
      <c r="U136" s="224"/>
      <c r="V136" s="224"/>
      <c r="W136" s="224"/>
      <c r="X136" s="224"/>
      <c r="Y136" s="224"/>
      <c r="Z136" s="224"/>
      <c r="AA136" s="224"/>
      <c r="AB136" s="224"/>
      <c r="AC136" s="224"/>
      <c r="AD136" s="224"/>
      <c r="AE136" s="224"/>
      <c r="AF136" s="224"/>
      <c r="AG136" s="224"/>
      <c r="AH136" s="224"/>
      <c r="AI136" s="224"/>
      <c r="AJ136" s="224"/>
      <c r="AK136" s="224"/>
      <c r="AL136" s="224"/>
      <c r="AM136" s="224"/>
      <c r="AN136" s="224"/>
      <c r="AO136" s="224"/>
      <c r="AP136" s="224"/>
      <c r="AQ136" s="224"/>
      <c r="AR136" s="224"/>
      <c r="AS136" s="224"/>
      <c r="AT136" s="224"/>
      <c r="AU136" s="224"/>
      <c r="AV136" s="224"/>
      <c r="AW136" s="224"/>
      <c r="AX136" s="224"/>
      <c r="AY136" s="224"/>
      <c r="AZ136" s="224"/>
      <c r="BA136" s="224"/>
      <c r="BB136" s="224"/>
      <c r="BC136" s="224"/>
      <c r="BD136" s="224"/>
      <c r="BE136" s="224"/>
      <c r="BF136" s="224"/>
      <c r="BG136" s="224"/>
      <c r="BH136" s="224"/>
      <c r="BI136" s="224"/>
      <c r="BJ136" s="224"/>
      <c r="BK136" s="224"/>
      <c r="BL136" s="224"/>
      <c r="BM136" s="224"/>
      <c r="BN136" s="224"/>
      <c r="BO136" s="224"/>
      <c r="BP136" s="224"/>
      <c r="BQ136" s="224"/>
      <c r="BR136" s="224"/>
      <c r="BS136" s="224"/>
      <c r="BT136" s="224"/>
      <c r="BU136" s="224"/>
      <c r="BV136" s="224"/>
      <c r="BX136" s="208"/>
    </row>
    <row r="137" spans="2:76" x14ac:dyDescent="0.2">
      <c r="B137" s="210"/>
      <c r="C137" s="203"/>
      <c r="D137" s="203"/>
      <c r="E137" s="261"/>
      <c r="F137" s="224"/>
      <c r="G137" s="224"/>
      <c r="H137" s="224"/>
      <c r="I137" s="224"/>
      <c r="J137" s="224"/>
      <c r="K137" s="224"/>
      <c r="L137" s="224"/>
      <c r="M137" s="224"/>
      <c r="N137" s="224"/>
      <c r="O137" s="224"/>
      <c r="P137" s="224"/>
      <c r="Q137" s="224"/>
      <c r="R137" s="224"/>
      <c r="S137" s="224"/>
      <c r="T137" s="224"/>
      <c r="U137" s="224"/>
      <c r="V137" s="224"/>
      <c r="W137" s="224"/>
      <c r="X137" s="224"/>
      <c r="Y137" s="224"/>
      <c r="Z137" s="224"/>
      <c r="AA137" s="224"/>
      <c r="AB137" s="224"/>
      <c r="AC137" s="224"/>
      <c r="AD137" s="224"/>
      <c r="AE137" s="224"/>
      <c r="AF137" s="224"/>
      <c r="AG137" s="224"/>
      <c r="AH137" s="224"/>
      <c r="AI137" s="224"/>
      <c r="AJ137" s="224"/>
      <c r="AK137" s="224"/>
      <c r="AL137" s="224"/>
      <c r="AM137" s="224"/>
      <c r="AN137" s="224"/>
      <c r="AO137" s="224"/>
      <c r="AP137" s="224"/>
      <c r="AQ137" s="224"/>
      <c r="AR137" s="224"/>
      <c r="AS137" s="224"/>
      <c r="AT137" s="224"/>
      <c r="AU137" s="224"/>
      <c r="AV137" s="224"/>
      <c r="AW137" s="224"/>
      <c r="AX137" s="224"/>
      <c r="AY137" s="224"/>
      <c r="AZ137" s="224"/>
      <c r="BA137" s="224"/>
      <c r="BB137" s="224"/>
      <c r="BC137" s="224"/>
      <c r="BD137" s="224"/>
      <c r="BE137" s="224"/>
      <c r="BF137" s="224"/>
      <c r="BG137" s="224"/>
      <c r="BH137" s="224"/>
      <c r="BI137" s="224"/>
      <c r="BJ137" s="224"/>
      <c r="BK137" s="224"/>
      <c r="BL137" s="224"/>
      <c r="BM137" s="224"/>
      <c r="BN137" s="224"/>
      <c r="BO137" s="224"/>
      <c r="BP137" s="224"/>
      <c r="BQ137" s="224"/>
      <c r="BR137" s="224"/>
      <c r="BS137" s="224"/>
      <c r="BT137" s="224"/>
      <c r="BU137" s="224"/>
      <c r="BV137" s="224"/>
      <c r="BX137" s="208"/>
    </row>
    <row r="138" spans="2:76" x14ac:dyDescent="0.2">
      <c r="B138" s="210"/>
      <c r="C138" s="203"/>
      <c r="D138" s="203"/>
      <c r="E138" s="261"/>
      <c r="F138" s="224"/>
      <c r="G138" s="224"/>
      <c r="H138" s="224"/>
      <c r="I138" s="224"/>
      <c r="J138" s="224"/>
      <c r="K138" s="224"/>
      <c r="L138" s="224"/>
      <c r="M138" s="224"/>
      <c r="N138" s="224"/>
      <c r="O138" s="224"/>
      <c r="P138" s="224"/>
      <c r="Q138" s="224"/>
      <c r="R138" s="224"/>
      <c r="S138" s="224"/>
      <c r="T138" s="224"/>
      <c r="U138" s="224"/>
      <c r="V138" s="224"/>
      <c r="W138" s="224"/>
      <c r="X138" s="224"/>
      <c r="Y138" s="224"/>
      <c r="Z138" s="224"/>
      <c r="AA138" s="224"/>
      <c r="AB138" s="224"/>
      <c r="AC138" s="224"/>
      <c r="AD138" s="224"/>
      <c r="AE138" s="224"/>
      <c r="AF138" s="224"/>
      <c r="AG138" s="224"/>
      <c r="AH138" s="224"/>
      <c r="AI138" s="224"/>
      <c r="AJ138" s="224"/>
      <c r="AK138" s="224"/>
      <c r="AL138" s="224"/>
      <c r="AM138" s="224"/>
      <c r="AN138" s="224"/>
      <c r="AO138" s="224"/>
      <c r="AP138" s="224"/>
      <c r="AQ138" s="224"/>
      <c r="AR138" s="224"/>
      <c r="AS138" s="224"/>
      <c r="AT138" s="224"/>
      <c r="AU138" s="224"/>
      <c r="AV138" s="224"/>
      <c r="AW138" s="224"/>
      <c r="AX138" s="224"/>
      <c r="AY138" s="224"/>
      <c r="AZ138" s="224"/>
      <c r="BA138" s="224"/>
      <c r="BB138" s="224"/>
      <c r="BC138" s="224"/>
      <c r="BD138" s="224"/>
      <c r="BE138" s="224"/>
      <c r="BF138" s="224"/>
      <c r="BG138" s="224"/>
      <c r="BH138" s="224"/>
      <c r="BI138" s="224"/>
      <c r="BJ138" s="224"/>
      <c r="BK138" s="224"/>
      <c r="BL138" s="224"/>
      <c r="BM138" s="224"/>
      <c r="BN138" s="224"/>
      <c r="BO138" s="224"/>
      <c r="BP138" s="224"/>
      <c r="BQ138" s="224"/>
      <c r="BR138" s="224"/>
      <c r="BS138" s="224"/>
      <c r="BT138" s="224"/>
      <c r="BU138" s="224"/>
      <c r="BV138" s="224"/>
      <c r="BX138" s="208"/>
    </row>
    <row r="139" spans="2:76" x14ac:dyDescent="0.2">
      <c r="B139" s="210"/>
      <c r="C139" s="210"/>
      <c r="D139" s="210"/>
      <c r="E139" s="261"/>
      <c r="F139" s="224"/>
      <c r="G139" s="224"/>
      <c r="H139" s="224"/>
      <c r="I139" s="224"/>
      <c r="J139" s="224"/>
      <c r="K139" s="224"/>
      <c r="L139" s="224"/>
      <c r="M139" s="224"/>
      <c r="N139" s="224"/>
      <c r="O139" s="224"/>
      <c r="P139" s="224"/>
      <c r="Q139" s="224"/>
      <c r="R139" s="224"/>
      <c r="S139" s="224"/>
      <c r="T139" s="224"/>
      <c r="U139" s="224"/>
      <c r="V139" s="224"/>
      <c r="W139" s="224"/>
      <c r="X139" s="224"/>
      <c r="Y139" s="224"/>
      <c r="Z139" s="224"/>
      <c r="AA139" s="224"/>
      <c r="AB139" s="224"/>
      <c r="AC139" s="224"/>
      <c r="AD139" s="224"/>
      <c r="AE139" s="224"/>
      <c r="AF139" s="224"/>
      <c r="AG139" s="224"/>
      <c r="AH139" s="224"/>
      <c r="AI139" s="224"/>
      <c r="AJ139" s="224"/>
      <c r="AK139" s="224"/>
      <c r="AL139" s="224"/>
      <c r="AM139" s="224"/>
      <c r="AN139" s="224"/>
      <c r="AO139" s="224"/>
      <c r="AP139" s="224"/>
      <c r="AQ139" s="224"/>
      <c r="AR139" s="224"/>
      <c r="AS139" s="224"/>
      <c r="AT139" s="224"/>
      <c r="AU139" s="224"/>
      <c r="AV139" s="224"/>
      <c r="AW139" s="224"/>
      <c r="AX139" s="224"/>
      <c r="AY139" s="224"/>
      <c r="AZ139" s="224"/>
      <c r="BA139" s="224"/>
      <c r="BB139" s="224"/>
      <c r="BC139" s="224"/>
      <c r="BD139" s="224"/>
      <c r="BE139" s="224"/>
      <c r="BF139" s="224"/>
      <c r="BG139" s="224"/>
      <c r="BH139" s="224"/>
      <c r="BI139" s="224"/>
      <c r="BJ139" s="224"/>
      <c r="BK139" s="224"/>
      <c r="BL139" s="224"/>
      <c r="BM139" s="224"/>
      <c r="BN139" s="224"/>
      <c r="BO139" s="224"/>
      <c r="BP139" s="224"/>
      <c r="BQ139" s="224"/>
      <c r="BR139" s="224"/>
      <c r="BS139" s="224"/>
      <c r="BT139" s="224"/>
      <c r="BU139" s="224"/>
      <c r="BV139" s="224"/>
      <c r="BX139" s="208"/>
    </row>
    <row r="140" spans="2:76" x14ac:dyDescent="0.2">
      <c r="B140" s="210"/>
      <c r="C140" s="203"/>
      <c r="D140" s="203"/>
      <c r="E140" s="261"/>
      <c r="F140" s="224"/>
      <c r="G140" s="224"/>
      <c r="H140" s="224"/>
      <c r="I140" s="224"/>
      <c r="J140" s="224"/>
      <c r="K140" s="224"/>
      <c r="L140" s="224"/>
      <c r="M140" s="224"/>
      <c r="N140" s="224"/>
      <c r="O140" s="224"/>
      <c r="P140" s="224"/>
      <c r="Q140" s="224"/>
      <c r="R140" s="224"/>
      <c r="S140" s="224"/>
      <c r="T140" s="224"/>
      <c r="U140" s="224"/>
      <c r="V140" s="224"/>
      <c r="W140" s="224"/>
      <c r="X140" s="224"/>
      <c r="Y140" s="224"/>
      <c r="Z140" s="224"/>
      <c r="AA140" s="224"/>
      <c r="AB140" s="224"/>
      <c r="AC140" s="224"/>
      <c r="AD140" s="224"/>
      <c r="AE140" s="224"/>
      <c r="AF140" s="224"/>
      <c r="AG140" s="224"/>
      <c r="AH140" s="224"/>
      <c r="AI140" s="224"/>
      <c r="AJ140" s="224"/>
      <c r="AK140" s="224"/>
      <c r="AL140" s="224"/>
      <c r="AM140" s="224"/>
      <c r="AN140" s="224"/>
      <c r="AO140" s="224"/>
      <c r="AP140" s="224"/>
      <c r="AQ140" s="224"/>
      <c r="AR140" s="224"/>
      <c r="AS140" s="224"/>
      <c r="AT140" s="224"/>
      <c r="AU140" s="224"/>
      <c r="AV140" s="224"/>
      <c r="AW140" s="224"/>
      <c r="AX140" s="224"/>
      <c r="AY140" s="224"/>
      <c r="AZ140" s="224"/>
      <c r="BA140" s="224"/>
      <c r="BB140" s="224"/>
      <c r="BC140" s="224"/>
      <c r="BD140" s="224"/>
      <c r="BE140" s="224"/>
      <c r="BF140" s="224"/>
      <c r="BG140" s="224"/>
      <c r="BH140" s="224"/>
      <c r="BI140" s="224"/>
      <c r="BJ140" s="224"/>
      <c r="BK140" s="224"/>
      <c r="BL140" s="224"/>
      <c r="BM140" s="224"/>
      <c r="BN140" s="224"/>
      <c r="BO140" s="224"/>
      <c r="BP140" s="224"/>
      <c r="BQ140" s="224"/>
      <c r="BR140" s="224"/>
      <c r="BS140" s="224"/>
      <c r="BT140" s="224"/>
      <c r="BU140" s="224"/>
      <c r="BV140" s="224"/>
      <c r="BX140" s="208"/>
    </row>
    <row r="141" spans="2:76" x14ac:dyDescent="0.2">
      <c r="B141" s="210"/>
      <c r="C141" s="203"/>
      <c r="D141" s="203"/>
      <c r="E141" s="261"/>
      <c r="F141" s="224"/>
      <c r="G141" s="224"/>
      <c r="H141" s="224"/>
      <c r="I141" s="224"/>
      <c r="J141" s="224"/>
      <c r="K141" s="224"/>
      <c r="L141" s="224"/>
      <c r="M141" s="224"/>
      <c r="N141" s="224"/>
      <c r="O141" s="224"/>
      <c r="P141" s="224"/>
      <c r="Q141" s="224"/>
      <c r="R141" s="224"/>
      <c r="S141" s="224"/>
      <c r="T141" s="224"/>
      <c r="U141" s="224"/>
      <c r="V141" s="224"/>
      <c r="W141" s="224"/>
      <c r="X141" s="224"/>
      <c r="Y141" s="224"/>
      <c r="Z141" s="224"/>
      <c r="AA141" s="224"/>
      <c r="AB141" s="224"/>
      <c r="AC141" s="224"/>
      <c r="AD141" s="224"/>
      <c r="AE141" s="224"/>
      <c r="AF141" s="224"/>
      <c r="AG141" s="224"/>
      <c r="AH141" s="224"/>
      <c r="AI141" s="224"/>
      <c r="AJ141" s="224"/>
      <c r="AK141" s="224"/>
      <c r="AL141" s="224"/>
      <c r="AM141" s="224"/>
      <c r="AN141" s="224"/>
      <c r="AO141" s="224"/>
      <c r="AP141" s="224"/>
      <c r="AQ141" s="224"/>
      <c r="AR141" s="224"/>
      <c r="AS141" s="224"/>
      <c r="AT141" s="224"/>
      <c r="AU141" s="224"/>
      <c r="AV141" s="224"/>
      <c r="AW141" s="224"/>
      <c r="AX141" s="224"/>
      <c r="AY141" s="224"/>
      <c r="AZ141" s="224"/>
      <c r="BA141" s="224"/>
      <c r="BB141" s="224"/>
      <c r="BC141" s="224"/>
      <c r="BD141" s="224"/>
      <c r="BE141" s="224"/>
      <c r="BF141" s="224"/>
      <c r="BG141" s="224"/>
      <c r="BH141" s="224"/>
      <c r="BI141" s="224"/>
      <c r="BJ141" s="224"/>
      <c r="BK141" s="224"/>
      <c r="BL141" s="224"/>
      <c r="BM141" s="224"/>
      <c r="BN141" s="224"/>
      <c r="BO141" s="224"/>
      <c r="BP141" s="224"/>
      <c r="BQ141" s="224"/>
      <c r="BR141" s="224"/>
      <c r="BS141" s="224"/>
      <c r="BT141" s="224"/>
      <c r="BU141" s="224"/>
      <c r="BV141" s="224"/>
      <c r="BX141" s="208"/>
    </row>
    <row r="142" spans="2:76" x14ac:dyDescent="0.2">
      <c r="B142" s="210"/>
      <c r="C142" s="203"/>
      <c r="D142" s="203"/>
      <c r="E142" s="261"/>
      <c r="F142" s="224"/>
      <c r="G142" s="224"/>
      <c r="H142" s="224"/>
      <c r="I142" s="224"/>
      <c r="J142" s="224"/>
      <c r="K142" s="224"/>
      <c r="L142" s="224"/>
      <c r="M142" s="224"/>
      <c r="N142" s="224"/>
      <c r="O142" s="224"/>
      <c r="P142" s="224"/>
      <c r="Q142" s="224"/>
      <c r="R142" s="224"/>
      <c r="S142" s="224"/>
      <c r="T142" s="224"/>
      <c r="U142" s="224"/>
      <c r="V142" s="224"/>
      <c r="W142" s="224"/>
      <c r="X142" s="224"/>
      <c r="Y142" s="224"/>
      <c r="Z142" s="224"/>
      <c r="AA142" s="224"/>
      <c r="AB142" s="224"/>
      <c r="AC142" s="224"/>
      <c r="AD142" s="224"/>
      <c r="AE142" s="224"/>
      <c r="AF142" s="224"/>
      <c r="AG142" s="224"/>
      <c r="AH142" s="224"/>
      <c r="AI142" s="224"/>
      <c r="AJ142" s="224"/>
      <c r="AK142" s="224"/>
      <c r="AL142" s="224"/>
      <c r="AM142" s="224"/>
      <c r="AN142" s="224"/>
      <c r="AO142" s="224"/>
      <c r="AP142" s="224"/>
      <c r="AQ142" s="224"/>
      <c r="AR142" s="224"/>
      <c r="AS142" s="224"/>
      <c r="AT142" s="224"/>
      <c r="AU142" s="224"/>
      <c r="AV142" s="224"/>
      <c r="AW142" s="224"/>
      <c r="AX142" s="224"/>
      <c r="AY142" s="224"/>
      <c r="AZ142" s="224"/>
      <c r="BA142" s="224"/>
      <c r="BB142" s="224"/>
      <c r="BC142" s="224"/>
      <c r="BD142" s="224"/>
      <c r="BE142" s="224"/>
      <c r="BF142" s="224"/>
      <c r="BG142" s="224"/>
      <c r="BH142" s="224"/>
      <c r="BI142" s="224"/>
      <c r="BJ142" s="224"/>
      <c r="BK142" s="224"/>
      <c r="BL142" s="224"/>
      <c r="BM142" s="224"/>
      <c r="BN142" s="224"/>
      <c r="BO142" s="224"/>
      <c r="BP142" s="224"/>
      <c r="BQ142" s="224"/>
      <c r="BR142" s="224"/>
      <c r="BS142" s="224"/>
      <c r="BT142" s="224"/>
      <c r="BU142" s="224"/>
      <c r="BV142" s="224"/>
      <c r="BX142" s="208"/>
    </row>
    <row r="143" spans="2:76" x14ac:dyDescent="0.2">
      <c r="B143" s="210"/>
      <c r="C143" s="203"/>
      <c r="D143" s="203"/>
      <c r="E143" s="261"/>
      <c r="F143" s="224"/>
      <c r="G143" s="224"/>
      <c r="H143" s="224"/>
      <c r="I143" s="224"/>
      <c r="J143" s="224"/>
      <c r="K143" s="224"/>
      <c r="L143" s="224"/>
      <c r="M143" s="224"/>
      <c r="N143" s="224"/>
      <c r="O143" s="224"/>
      <c r="P143" s="224"/>
      <c r="Q143" s="224"/>
      <c r="R143" s="224"/>
      <c r="S143" s="224"/>
      <c r="T143" s="224"/>
      <c r="U143" s="224"/>
      <c r="V143" s="224"/>
      <c r="W143" s="224"/>
      <c r="X143" s="224"/>
      <c r="Y143" s="224"/>
      <c r="Z143" s="224"/>
      <c r="AA143" s="224"/>
      <c r="AB143" s="224"/>
      <c r="AC143" s="224"/>
      <c r="AD143" s="224"/>
      <c r="AE143" s="224"/>
      <c r="AF143" s="224"/>
      <c r="AG143" s="224"/>
      <c r="AH143" s="224"/>
      <c r="AI143" s="224"/>
      <c r="AJ143" s="224"/>
      <c r="AK143" s="224"/>
      <c r="AL143" s="224"/>
      <c r="AM143" s="224"/>
      <c r="AN143" s="224"/>
      <c r="AO143" s="224"/>
      <c r="AP143" s="224"/>
      <c r="AQ143" s="224"/>
      <c r="AR143" s="224"/>
      <c r="AS143" s="224"/>
      <c r="AT143" s="224"/>
      <c r="AU143" s="224"/>
      <c r="AV143" s="224"/>
      <c r="AW143" s="224"/>
      <c r="AX143" s="224"/>
      <c r="AY143" s="224"/>
      <c r="AZ143" s="224"/>
      <c r="BA143" s="224"/>
      <c r="BB143" s="224"/>
      <c r="BC143" s="224"/>
      <c r="BD143" s="224"/>
      <c r="BE143" s="224"/>
      <c r="BF143" s="224"/>
      <c r="BG143" s="224"/>
      <c r="BH143" s="224"/>
      <c r="BI143" s="224"/>
      <c r="BJ143" s="224"/>
      <c r="BK143" s="224"/>
      <c r="BL143" s="224"/>
      <c r="BM143" s="224"/>
      <c r="BN143" s="224"/>
      <c r="BO143" s="224"/>
      <c r="BP143" s="224"/>
      <c r="BQ143" s="224"/>
      <c r="BR143" s="224"/>
      <c r="BS143" s="224"/>
      <c r="BT143" s="224"/>
      <c r="BU143" s="224"/>
      <c r="BV143" s="224"/>
      <c r="BX143" s="208"/>
    </row>
    <row r="144" spans="2:76" x14ac:dyDescent="0.2">
      <c r="B144" s="210"/>
      <c r="C144" s="203"/>
      <c r="D144" s="203"/>
      <c r="E144" s="261"/>
      <c r="F144" s="224"/>
      <c r="G144" s="224"/>
      <c r="H144" s="224"/>
      <c r="I144" s="224"/>
      <c r="J144" s="224"/>
      <c r="K144" s="224"/>
      <c r="L144" s="224"/>
      <c r="M144" s="224"/>
      <c r="N144" s="224"/>
      <c r="O144" s="224"/>
      <c r="P144" s="224"/>
      <c r="Q144" s="224"/>
      <c r="R144" s="224"/>
      <c r="S144" s="224"/>
      <c r="T144" s="224"/>
      <c r="U144" s="224"/>
      <c r="V144" s="224"/>
      <c r="W144" s="224"/>
      <c r="X144" s="224"/>
      <c r="Y144" s="224"/>
      <c r="Z144" s="224"/>
      <c r="AA144" s="224"/>
      <c r="AB144" s="224"/>
      <c r="AC144" s="224"/>
      <c r="AD144" s="224"/>
      <c r="AE144" s="224"/>
      <c r="AF144" s="224"/>
      <c r="AG144" s="224"/>
      <c r="AH144" s="224"/>
      <c r="AI144" s="224"/>
      <c r="AJ144" s="224"/>
      <c r="AK144" s="224"/>
      <c r="AL144" s="224"/>
      <c r="AM144" s="224"/>
      <c r="AN144" s="224"/>
      <c r="AO144" s="224"/>
      <c r="AP144" s="224"/>
      <c r="AQ144" s="224"/>
      <c r="AR144" s="224"/>
      <c r="AS144" s="224"/>
      <c r="AT144" s="224"/>
      <c r="AU144" s="224"/>
      <c r="AV144" s="224"/>
      <c r="AW144" s="224"/>
      <c r="AX144" s="224"/>
      <c r="AY144" s="224"/>
      <c r="AZ144" s="224"/>
      <c r="BA144" s="224"/>
      <c r="BB144" s="224"/>
      <c r="BC144" s="224"/>
      <c r="BD144" s="224"/>
      <c r="BE144" s="224"/>
      <c r="BF144" s="224"/>
      <c r="BG144" s="224"/>
      <c r="BH144" s="224"/>
      <c r="BI144" s="224"/>
      <c r="BJ144" s="224"/>
      <c r="BK144" s="224"/>
      <c r="BL144" s="224"/>
      <c r="BM144" s="224"/>
      <c r="BN144" s="224"/>
      <c r="BO144" s="224"/>
      <c r="BP144" s="224"/>
      <c r="BQ144" s="224"/>
      <c r="BR144" s="224"/>
      <c r="BS144" s="224"/>
      <c r="BT144" s="224"/>
      <c r="BU144" s="224"/>
      <c r="BV144" s="224"/>
      <c r="BX144" s="208"/>
    </row>
    <row r="145" spans="2:76" x14ac:dyDescent="0.2">
      <c r="B145" s="210"/>
      <c r="C145" s="203"/>
      <c r="D145" s="203"/>
      <c r="E145" s="261"/>
      <c r="F145" s="224"/>
      <c r="G145" s="224"/>
      <c r="H145" s="224"/>
      <c r="I145" s="224"/>
      <c r="J145" s="224"/>
      <c r="K145" s="224"/>
      <c r="L145" s="224"/>
      <c r="M145" s="224"/>
      <c r="N145" s="224"/>
      <c r="O145" s="224"/>
      <c r="P145" s="224"/>
      <c r="Q145" s="224"/>
      <c r="R145" s="224"/>
      <c r="S145" s="224"/>
      <c r="T145" s="224"/>
      <c r="U145" s="224"/>
      <c r="V145" s="224"/>
      <c r="W145" s="224"/>
      <c r="X145" s="224"/>
      <c r="Y145" s="224"/>
      <c r="Z145" s="224"/>
      <c r="AA145" s="224"/>
      <c r="AB145" s="224"/>
      <c r="AC145" s="224"/>
      <c r="AD145" s="224"/>
      <c r="AE145" s="224"/>
      <c r="AF145" s="224"/>
      <c r="AG145" s="224"/>
      <c r="AH145" s="224"/>
      <c r="AI145" s="224"/>
      <c r="AJ145" s="224"/>
      <c r="AK145" s="224"/>
      <c r="AL145" s="224"/>
      <c r="AM145" s="224"/>
      <c r="AN145" s="224"/>
      <c r="AO145" s="224"/>
      <c r="AP145" s="224"/>
      <c r="AQ145" s="224"/>
      <c r="AR145" s="224"/>
      <c r="AS145" s="224"/>
      <c r="AT145" s="224"/>
      <c r="AU145" s="224"/>
      <c r="AV145" s="224"/>
      <c r="AW145" s="224"/>
      <c r="AX145" s="224"/>
      <c r="AY145" s="224"/>
      <c r="AZ145" s="224"/>
      <c r="BA145" s="224"/>
      <c r="BB145" s="224"/>
      <c r="BC145" s="224"/>
      <c r="BD145" s="224"/>
      <c r="BE145" s="224"/>
      <c r="BF145" s="224"/>
      <c r="BG145" s="224"/>
      <c r="BH145" s="224"/>
      <c r="BI145" s="224"/>
      <c r="BJ145" s="224"/>
      <c r="BK145" s="224"/>
      <c r="BL145" s="224"/>
      <c r="BM145" s="224"/>
      <c r="BN145" s="224"/>
      <c r="BO145" s="224"/>
      <c r="BP145" s="224"/>
      <c r="BQ145" s="224"/>
      <c r="BR145" s="224"/>
      <c r="BS145" s="224"/>
      <c r="BT145" s="224"/>
      <c r="BU145" s="224"/>
      <c r="BV145" s="224"/>
      <c r="BX145" s="208"/>
    </row>
    <row r="146" spans="2:76" x14ac:dyDescent="0.2">
      <c r="B146" s="210"/>
      <c r="C146" s="203"/>
      <c r="D146" s="203"/>
      <c r="E146" s="261"/>
      <c r="F146" s="224"/>
      <c r="G146" s="224"/>
      <c r="H146" s="224"/>
      <c r="I146" s="224"/>
      <c r="J146" s="224"/>
      <c r="K146" s="224"/>
      <c r="L146" s="224"/>
      <c r="M146" s="224"/>
      <c r="N146" s="224"/>
      <c r="O146" s="224"/>
      <c r="P146" s="224"/>
      <c r="Q146" s="224"/>
      <c r="R146" s="224"/>
      <c r="S146" s="224"/>
      <c r="T146" s="224"/>
      <c r="U146" s="224"/>
      <c r="V146" s="224"/>
      <c r="W146" s="224"/>
      <c r="X146" s="224"/>
      <c r="Y146" s="224"/>
      <c r="Z146" s="224"/>
      <c r="AA146" s="224"/>
      <c r="AB146" s="224"/>
      <c r="AC146" s="224"/>
      <c r="AD146" s="224"/>
      <c r="AE146" s="224"/>
      <c r="AF146" s="224"/>
      <c r="AG146" s="224"/>
      <c r="AH146" s="224"/>
      <c r="AI146" s="224"/>
      <c r="AJ146" s="224"/>
      <c r="AK146" s="224"/>
      <c r="AL146" s="224"/>
      <c r="AM146" s="224"/>
      <c r="AN146" s="224"/>
      <c r="AO146" s="224"/>
      <c r="AP146" s="224"/>
      <c r="AQ146" s="224"/>
      <c r="AR146" s="224"/>
      <c r="AS146" s="224"/>
      <c r="AT146" s="224"/>
      <c r="AU146" s="224"/>
      <c r="AV146" s="224"/>
      <c r="AW146" s="224"/>
      <c r="AX146" s="224"/>
      <c r="AY146" s="224"/>
      <c r="AZ146" s="224"/>
      <c r="BA146" s="224"/>
      <c r="BB146" s="224"/>
      <c r="BC146" s="224"/>
      <c r="BD146" s="224"/>
      <c r="BE146" s="224"/>
      <c r="BF146" s="224"/>
      <c r="BG146" s="224"/>
      <c r="BH146" s="224"/>
      <c r="BI146" s="224"/>
      <c r="BJ146" s="224"/>
      <c r="BK146" s="224"/>
      <c r="BL146" s="224"/>
      <c r="BM146" s="224"/>
      <c r="BN146" s="224"/>
      <c r="BO146" s="224"/>
      <c r="BP146" s="224"/>
      <c r="BQ146" s="224"/>
      <c r="BR146" s="224"/>
      <c r="BS146" s="224"/>
      <c r="BT146" s="224"/>
      <c r="BU146" s="224"/>
      <c r="BV146" s="224"/>
      <c r="BX146" s="208"/>
    </row>
    <row r="147" spans="2:76" x14ac:dyDescent="0.2">
      <c r="B147" s="210"/>
      <c r="C147" s="203"/>
      <c r="D147" s="203"/>
      <c r="E147" s="261"/>
      <c r="F147" s="224"/>
      <c r="G147" s="224"/>
      <c r="H147" s="224"/>
      <c r="I147" s="224"/>
      <c r="J147" s="224"/>
      <c r="K147" s="224"/>
      <c r="L147" s="224"/>
      <c r="M147" s="224"/>
      <c r="N147" s="224"/>
      <c r="O147" s="224"/>
      <c r="P147" s="224"/>
      <c r="Q147" s="224"/>
      <c r="R147" s="224"/>
      <c r="S147" s="224"/>
      <c r="T147" s="224"/>
      <c r="U147" s="224"/>
      <c r="V147" s="224"/>
      <c r="W147" s="224"/>
      <c r="X147" s="224"/>
      <c r="Y147" s="224"/>
      <c r="Z147" s="224"/>
      <c r="AA147" s="224"/>
      <c r="AB147" s="224"/>
      <c r="AC147" s="224"/>
      <c r="AD147" s="224"/>
      <c r="AE147" s="224"/>
      <c r="AF147" s="224"/>
      <c r="AG147" s="224"/>
      <c r="AH147" s="224"/>
      <c r="AI147" s="224"/>
      <c r="AJ147" s="224"/>
      <c r="AK147" s="224"/>
      <c r="AL147" s="224"/>
      <c r="AM147" s="224"/>
      <c r="AN147" s="224"/>
      <c r="AO147" s="224"/>
      <c r="AP147" s="224"/>
      <c r="AQ147" s="224"/>
      <c r="AR147" s="224"/>
      <c r="AS147" s="224"/>
      <c r="AT147" s="224"/>
      <c r="AU147" s="224"/>
      <c r="AV147" s="224"/>
      <c r="AW147" s="224"/>
      <c r="AX147" s="224"/>
      <c r="AY147" s="224"/>
      <c r="AZ147" s="224"/>
      <c r="BA147" s="224"/>
      <c r="BB147" s="224"/>
      <c r="BC147" s="224"/>
      <c r="BD147" s="224"/>
      <c r="BE147" s="224"/>
      <c r="BF147" s="224"/>
      <c r="BG147" s="224"/>
      <c r="BH147" s="224"/>
      <c r="BI147" s="224"/>
      <c r="BJ147" s="224"/>
      <c r="BK147" s="224"/>
      <c r="BL147" s="224"/>
      <c r="BM147" s="224"/>
      <c r="BN147" s="224"/>
      <c r="BO147" s="224"/>
      <c r="BP147" s="224"/>
      <c r="BQ147" s="224"/>
      <c r="BR147" s="224"/>
      <c r="BS147" s="224"/>
      <c r="BT147" s="224"/>
      <c r="BU147" s="224"/>
      <c r="BV147" s="224"/>
      <c r="BX147" s="208"/>
    </row>
    <row r="148" spans="2:76" x14ac:dyDescent="0.2">
      <c r="B148" s="210"/>
      <c r="C148" s="203"/>
      <c r="D148" s="203"/>
      <c r="E148" s="261"/>
      <c r="F148" s="224"/>
      <c r="G148" s="224"/>
      <c r="H148" s="224"/>
      <c r="I148" s="224"/>
      <c r="J148" s="224"/>
      <c r="K148" s="224"/>
      <c r="L148" s="224"/>
      <c r="M148" s="224"/>
      <c r="N148" s="224"/>
      <c r="O148" s="224"/>
      <c r="P148" s="224"/>
      <c r="Q148" s="224"/>
      <c r="R148" s="224"/>
      <c r="S148" s="224"/>
      <c r="T148" s="224"/>
      <c r="U148" s="224"/>
      <c r="V148" s="224"/>
      <c r="W148" s="224"/>
      <c r="X148" s="224"/>
      <c r="Y148" s="224"/>
      <c r="Z148" s="224"/>
      <c r="AA148" s="224"/>
      <c r="AB148" s="224"/>
      <c r="AC148" s="224"/>
      <c r="AD148" s="224"/>
      <c r="AE148" s="224"/>
      <c r="AF148" s="224"/>
      <c r="AG148" s="224"/>
      <c r="AH148" s="224"/>
      <c r="AI148" s="224"/>
      <c r="AJ148" s="224"/>
      <c r="AK148" s="224"/>
      <c r="AL148" s="224"/>
      <c r="AM148" s="224"/>
      <c r="AN148" s="224"/>
      <c r="AO148" s="224"/>
      <c r="AP148" s="224"/>
      <c r="AQ148" s="224"/>
      <c r="AR148" s="224"/>
      <c r="AS148" s="224"/>
      <c r="AT148" s="224"/>
      <c r="AU148" s="224"/>
      <c r="AV148" s="224"/>
      <c r="AW148" s="224"/>
      <c r="AX148" s="224"/>
      <c r="AY148" s="224"/>
      <c r="AZ148" s="224"/>
      <c r="BA148" s="224"/>
      <c r="BB148" s="224"/>
      <c r="BC148" s="224"/>
      <c r="BD148" s="224"/>
      <c r="BE148" s="224"/>
      <c r="BF148" s="224"/>
      <c r="BG148" s="224"/>
      <c r="BH148" s="224"/>
      <c r="BI148" s="224"/>
      <c r="BJ148" s="224"/>
      <c r="BK148" s="224"/>
      <c r="BL148" s="224"/>
      <c r="BM148" s="224"/>
      <c r="BN148" s="224"/>
      <c r="BO148" s="224"/>
      <c r="BP148" s="224"/>
      <c r="BQ148" s="224"/>
      <c r="BR148" s="224"/>
      <c r="BS148" s="224"/>
      <c r="BT148" s="224"/>
      <c r="BU148" s="224"/>
      <c r="BV148" s="224"/>
      <c r="BX148" s="208"/>
    </row>
    <row r="149" spans="2:76" x14ac:dyDescent="0.2">
      <c r="B149" s="210"/>
      <c r="C149" s="203"/>
      <c r="D149" s="203"/>
      <c r="E149" s="261"/>
      <c r="F149" s="224"/>
      <c r="G149" s="224"/>
      <c r="H149" s="224"/>
      <c r="I149" s="224"/>
      <c r="J149" s="224"/>
      <c r="K149" s="224"/>
      <c r="L149" s="224"/>
      <c r="M149" s="224"/>
      <c r="N149" s="224"/>
      <c r="O149" s="224"/>
      <c r="P149" s="224"/>
      <c r="Q149" s="224"/>
      <c r="R149" s="224"/>
      <c r="S149" s="224"/>
      <c r="T149" s="224"/>
      <c r="U149" s="224"/>
      <c r="V149" s="224"/>
      <c r="W149" s="224"/>
      <c r="X149" s="224"/>
      <c r="Y149" s="224"/>
      <c r="Z149" s="224"/>
      <c r="AA149" s="224"/>
      <c r="AB149" s="224"/>
      <c r="AC149" s="224"/>
      <c r="AD149" s="224"/>
      <c r="AE149" s="224"/>
      <c r="AF149" s="224"/>
      <c r="AG149" s="224"/>
      <c r="AH149" s="224"/>
      <c r="AI149" s="224"/>
      <c r="AJ149" s="224"/>
      <c r="AK149" s="224"/>
      <c r="AL149" s="224"/>
      <c r="AM149" s="224"/>
      <c r="AN149" s="224"/>
      <c r="AO149" s="224"/>
      <c r="AP149" s="224"/>
      <c r="AQ149" s="224"/>
      <c r="AR149" s="224"/>
      <c r="AS149" s="224"/>
      <c r="AT149" s="224"/>
      <c r="AU149" s="224"/>
      <c r="AV149" s="224"/>
      <c r="AW149" s="224"/>
      <c r="AX149" s="224"/>
      <c r="AY149" s="224"/>
      <c r="AZ149" s="224"/>
      <c r="BA149" s="224"/>
      <c r="BB149" s="224"/>
      <c r="BC149" s="224"/>
      <c r="BD149" s="224"/>
      <c r="BE149" s="224"/>
      <c r="BF149" s="224"/>
      <c r="BG149" s="224"/>
      <c r="BH149" s="224"/>
      <c r="BI149" s="224"/>
      <c r="BJ149" s="224"/>
      <c r="BK149" s="224"/>
      <c r="BL149" s="224"/>
      <c r="BM149" s="224"/>
      <c r="BN149" s="224"/>
      <c r="BO149" s="224"/>
      <c r="BP149" s="224"/>
      <c r="BQ149" s="224"/>
      <c r="BR149" s="224"/>
      <c r="BS149" s="224"/>
      <c r="BT149" s="224"/>
      <c r="BU149" s="224"/>
      <c r="BV149" s="224"/>
      <c r="BX149" s="208"/>
    </row>
    <row r="150" spans="2:76" x14ac:dyDescent="0.2">
      <c r="B150" s="210"/>
      <c r="C150" s="203"/>
      <c r="D150" s="203"/>
      <c r="E150" s="261"/>
      <c r="F150" s="224"/>
      <c r="G150" s="224"/>
      <c r="H150" s="224"/>
      <c r="I150" s="224"/>
      <c r="J150" s="224"/>
      <c r="K150" s="224"/>
      <c r="L150" s="224"/>
      <c r="M150" s="224"/>
      <c r="N150" s="224"/>
      <c r="O150" s="224"/>
      <c r="P150" s="224"/>
      <c r="Q150" s="224"/>
      <c r="R150" s="224"/>
      <c r="S150" s="224"/>
      <c r="T150" s="224"/>
      <c r="U150" s="224"/>
      <c r="V150" s="224"/>
      <c r="W150" s="224"/>
      <c r="X150" s="224"/>
      <c r="Y150" s="224"/>
      <c r="Z150" s="224"/>
      <c r="AA150" s="224"/>
      <c r="AB150" s="224"/>
      <c r="AC150" s="224"/>
      <c r="AD150" s="224"/>
      <c r="AE150" s="224"/>
      <c r="AF150" s="224"/>
      <c r="AG150" s="224"/>
      <c r="AH150" s="224"/>
      <c r="AI150" s="224"/>
      <c r="AJ150" s="224"/>
      <c r="AK150" s="224"/>
      <c r="AL150" s="224"/>
      <c r="AM150" s="224"/>
      <c r="AN150" s="224"/>
      <c r="AO150" s="224"/>
      <c r="AP150" s="224"/>
      <c r="AQ150" s="224"/>
      <c r="AR150" s="224"/>
      <c r="AS150" s="224"/>
      <c r="AT150" s="224"/>
      <c r="AU150" s="224"/>
      <c r="AV150" s="224"/>
      <c r="AW150" s="224"/>
      <c r="AX150" s="224"/>
      <c r="AY150" s="224"/>
      <c r="AZ150" s="224"/>
      <c r="BA150" s="224"/>
      <c r="BB150" s="224"/>
      <c r="BC150" s="224"/>
      <c r="BD150" s="224"/>
      <c r="BE150" s="224"/>
      <c r="BF150" s="224"/>
      <c r="BG150" s="224"/>
      <c r="BH150" s="224"/>
      <c r="BI150" s="224"/>
      <c r="BJ150" s="224"/>
      <c r="BK150" s="224"/>
      <c r="BL150" s="224"/>
      <c r="BM150" s="224"/>
      <c r="BN150" s="224"/>
      <c r="BO150" s="224"/>
      <c r="BP150" s="224"/>
      <c r="BQ150" s="224"/>
      <c r="BR150" s="224"/>
      <c r="BS150" s="224"/>
      <c r="BT150" s="224"/>
      <c r="BU150" s="224"/>
      <c r="BV150" s="224"/>
      <c r="BX150" s="208"/>
    </row>
    <row r="151" spans="2:76" x14ac:dyDescent="0.2">
      <c r="B151" s="210"/>
      <c r="C151" s="203"/>
      <c r="D151" s="203"/>
      <c r="E151" s="261"/>
      <c r="F151" s="224"/>
      <c r="G151" s="224"/>
      <c r="H151" s="224"/>
      <c r="I151" s="224"/>
      <c r="J151" s="224"/>
      <c r="K151" s="224"/>
      <c r="L151" s="224"/>
      <c r="M151" s="224"/>
      <c r="N151" s="224"/>
      <c r="O151" s="224"/>
      <c r="P151" s="224"/>
      <c r="Q151" s="224"/>
      <c r="R151" s="224"/>
      <c r="S151" s="224"/>
      <c r="T151" s="224"/>
      <c r="U151" s="224"/>
      <c r="V151" s="224"/>
      <c r="W151" s="224"/>
      <c r="X151" s="224"/>
      <c r="Y151" s="224"/>
      <c r="Z151" s="224"/>
      <c r="AA151" s="224"/>
      <c r="AB151" s="224"/>
      <c r="AC151" s="224"/>
      <c r="AD151" s="224"/>
      <c r="AE151" s="224"/>
      <c r="AF151" s="224"/>
      <c r="AG151" s="224"/>
      <c r="AH151" s="224"/>
      <c r="AI151" s="224"/>
      <c r="AJ151" s="224"/>
      <c r="AK151" s="224"/>
      <c r="AL151" s="224"/>
      <c r="AM151" s="224"/>
      <c r="AN151" s="224"/>
      <c r="AO151" s="224"/>
      <c r="AP151" s="224"/>
      <c r="AQ151" s="224"/>
      <c r="AR151" s="224"/>
      <c r="AS151" s="224"/>
      <c r="AT151" s="224"/>
      <c r="AU151" s="224"/>
      <c r="AV151" s="224"/>
      <c r="AW151" s="224"/>
      <c r="AX151" s="224"/>
      <c r="AY151" s="224"/>
      <c r="AZ151" s="224"/>
      <c r="BA151" s="224"/>
      <c r="BB151" s="224"/>
      <c r="BC151" s="224"/>
      <c r="BD151" s="224"/>
      <c r="BE151" s="224"/>
      <c r="BF151" s="224"/>
      <c r="BG151" s="224"/>
      <c r="BH151" s="224"/>
      <c r="BI151" s="224"/>
      <c r="BJ151" s="224"/>
      <c r="BK151" s="224"/>
      <c r="BL151" s="224"/>
      <c r="BM151" s="224"/>
      <c r="BN151" s="224"/>
      <c r="BO151" s="224"/>
      <c r="BP151" s="224"/>
      <c r="BQ151" s="224"/>
      <c r="BR151" s="224"/>
      <c r="BS151" s="224"/>
      <c r="BT151" s="224"/>
      <c r="BU151" s="224"/>
      <c r="BV151" s="224"/>
      <c r="BX151" s="208"/>
    </row>
    <row r="152" spans="2:76" x14ac:dyDescent="0.2">
      <c r="B152" s="210"/>
      <c r="C152" s="210"/>
      <c r="D152" s="210"/>
      <c r="E152" s="261"/>
      <c r="F152" s="224"/>
      <c r="G152" s="224"/>
      <c r="H152" s="224"/>
      <c r="I152" s="224"/>
      <c r="J152" s="224"/>
      <c r="K152" s="224"/>
      <c r="L152" s="224"/>
      <c r="M152" s="224"/>
      <c r="N152" s="224"/>
      <c r="O152" s="224"/>
      <c r="P152" s="224"/>
      <c r="Q152" s="224"/>
      <c r="R152" s="224"/>
      <c r="S152" s="224"/>
      <c r="T152" s="224"/>
      <c r="U152" s="224"/>
      <c r="V152" s="224"/>
      <c r="W152" s="224"/>
      <c r="X152" s="224"/>
      <c r="Y152" s="224"/>
      <c r="Z152" s="224"/>
      <c r="AA152" s="224"/>
      <c r="AB152" s="224"/>
      <c r="AC152" s="224"/>
      <c r="AD152" s="224"/>
      <c r="AE152" s="224"/>
      <c r="AF152" s="224"/>
      <c r="AG152" s="224"/>
      <c r="AH152" s="224"/>
      <c r="AI152" s="224"/>
      <c r="AJ152" s="224"/>
      <c r="AK152" s="224"/>
      <c r="AL152" s="224"/>
      <c r="AM152" s="224"/>
      <c r="AN152" s="224"/>
      <c r="AO152" s="224"/>
      <c r="AP152" s="224"/>
      <c r="AQ152" s="224"/>
      <c r="AR152" s="224"/>
      <c r="AS152" s="224"/>
      <c r="AT152" s="224"/>
      <c r="AU152" s="224"/>
      <c r="AV152" s="224"/>
      <c r="AW152" s="224"/>
      <c r="AX152" s="224"/>
      <c r="AY152" s="224"/>
      <c r="AZ152" s="224"/>
      <c r="BA152" s="224"/>
      <c r="BB152" s="224"/>
      <c r="BC152" s="224"/>
      <c r="BD152" s="224"/>
      <c r="BE152" s="224"/>
      <c r="BF152" s="224"/>
      <c r="BG152" s="224"/>
      <c r="BH152" s="224"/>
      <c r="BI152" s="224"/>
      <c r="BJ152" s="224"/>
      <c r="BK152" s="224"/>
      <c r="BL152" s="224"/>
      <c r="BM152" s="224"/>
      <c r="BN152" s="224"/>
      <c r="BO152" s="224"/>
      <c r="BP152" s="224"/>
      <c r="BQ152" s="224"/>
      <c r="BR152" s="224"/>
      <c r="BS152" s="224"/>
      <c r="BT152" s="224"/>
      <c r="BU152" s="224"/>
      <c r="BV152" s="224"/>
      <c r="BX152" s="208"/>
    </row>
    <row r="153" spans="2:76" x14ac:dyDescent="0.2">
      <c r="B153" s="210"/>
      <c r="C153" s="203"/>
      <c r="D153" s="203"/>
      <c r="E153" s="261"/>
      <c r="F153" s="224"/>
      <c r="G153" s="224"/>
      <c r="H153" s="224"/>
      <c r="I153" s="224"/>
      <c r="J153" s="224"/>
      <c r="K153" s="224"/>
      <c r="L153" s="224"/>
      <c r="M153" s="224"/>
      <c r="N153" s="224"/>
      <c r="O153" s="224"/>
      <c r="P153" s="224"/>
      <c r="Q153" s="224"/>
      <c r="R153" s="224"/>
      <c r="S153" s="224"/>
      <c r="T153" s="224"/>
      <c r="U153" s="224"/>
      <c r="V153" s="224"/>
      <c r="W153" s="224"/>
      <c r="X153" s="224"/>
      <c r="Y153" s="224"/>
      <c r="Z153" s="224"/>
      <c r="AA153" s="224"/>
      <c r="AB153" s="224"/>
      <c r="AC153" s="224"/>
      <c r="AD153" s="224"/>
      <c r="AE153" s="224"/>
      <c r="AF153" s="224"/>
      <c r="AG153" s="224"/>
      <c r="AH153" s="224"/>
      <c r="AI153" s="224"/>
      <c r="AJ153" s="224"/>
      <c r="AK153" s="224"/>
      <c r="AL153" s="224"/>
      <c r="AM153" s="224"/>
      <c r="AN153" s="224"/>
      <c r="AO153" s="224"/>
      <c r="AP153" s="224"/>
      <c r="AQ153" s="224"/>
      <c r="AR153" s="224"/>
      <c r="AS153" s="224"/>
      <c r="AT153" s="224"/>
      <c r="AU153" s="224"/>
      <c r="AV153" s="224"/>
      <c r="AW153" s="224"/>
      <c r="AX153" s="224"/>
      <c r="AY153" s="224"/>
      <c r="AZ153" s="224"/>
      <c r="BA153" s="224"/>
      <c r="BB153" s="224"/>
      <c r="BC153" s="224"/>
      <c r="BD153" s="224"/>
      <c r="BE153" s="224"/>
      <c r="BF153" s="224"/>
      <c r="BG153" s="224"/>
      <c r="BH153" s="224"/>
      <c r="BI153" s="224"/>
      <c r="BJ153" s="224"/>
      <c r="BK153" s="224"/>
      <c r="BL153" s="224"/>
      <c r="BM153" s="224"/>
      <c r="BN153" s="224"/>
      <c r="BO153" s="224"/>
      <c r="BP153" s="224"/>
      <c r="BQ153" s="224"/>
      <c r="BR153" s="224"/>
      <c r="BS153" s="224"/>
      <c r="BT153" s="224"/>
      <c r="BU153" s="224"/>
      <c r="BV153" s="224"/>
      <c r="BX153" s="208"/>
    </row>
    <row r="154" spans="2:76" x14ac:dyDescent="0.2">
      <c r="B154" s="210"/>
      <c r="C154" s="203"/>
      <c r="D154" s="203"/>
      <c r="E154" s="261"/>
      <c r="F154" s="224"/>
      <c r="G154" s="224"/>
      <c r="H154" s="224"/>
      <c r="I154" s="224"/>
      <c r="J154" s="224"/>
      <c r="K154" s="224"/>
      <c r="L154" s="224"/>
      <c r="M154" s="224"/>
      <c r="N154" s="224"/>
      <c r="O154" s="224"/>
      <c r="P154" s="224"/>
      <c r="Q154" s="224"/>
      <c r="R154" s="224"/>
      <c r="S154" s="224"/>
      <c r="T154" s="224"/>
      <c r="U154" s="224"/>
      <c r="V154" s="224"/>
      <c r="W154" s="224"/>
      <c r="X154" s="224"/>
      <c r="Y154" s="224"/>
      <c r="Z154" s="224"/>
      <c r="AA154" s="224"/>
      <c r="AB154" s="224"/>
      <c r="AC154" s="224"/>
      <c r="AD154" s="224"/>
      <c r="AE154" s="224"/>
      <c r="AF154" s="224"/>
      <c r="AG154" s="224"/>
      <c r="AH154" s="224"/>
      <c r="AI154" s="224"/>
      <c r="AJ154" s="224"/>
      <c r="AK154" s="224"/>
      <c r="AL154" s="224"/>
      <c r="AM154" s="224"/>
      <c r="AN154" s="224"/>
      <c r="AO154" s="224"/>
      <c r="AP154" s="224"/>
      <c r="AQ154" s="224"/>
      <c r="AR154" s="224"/>
      <c r="AS154" s="224"/>
      <c r="AT154" s="224"/>
      <c r="AU154" s="224"/>
      <c r="AV154" s="224"/>
      <c r="AW154" s="224"/>
      <c r="AX154" s="224"/>
      <c r="AY154" s="224"/>
      <c r="AZ154" s="224"/>
      <c r="BA154" s="224"/>
      <c r="BB154" s="224"/>
      <c r="BC154" s="224"/>
      <c r="BD154" s="224"/>
      <c r="BE154" s="224"/>
      <c r="BF154" s="224"/>
      <c r="BG154" s="224"/>
      <c r="BH154" s="224"/>
      <c r="BI154" s="224"/>
      <c r="BJ154" s="224"/>
      <c r="BK154" s="224"/>
      <c r="BL154" s="224"/>
      <c r="BM154" s="224"/>
      <c r="BN154" s="224"/>
      <c r="BO154" s="224"/>
      <c r="BP154" s="224"/>
      <c r="BQ154" s="224"/>
      <c r="BR154" s="224"/>
      <c r="BS154" s="224"/>
      <c r="BT154" s="224"/>
      <c r="BU154" s="224"/>
      <c r="BV154" s="224"/>
      <c r="BX154" s="208"/>
    </row>
    <row r="155" spans="2:76" x14ac:dyDescent="0.2">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X155" s="208"/>
    </row>
    <row r="156" spans="2:76" x14ac:dyDescent="0.2">
      <c r="B156" s="210"/>
      <c r="C156" s="203"/>
      <c r="D156" s="203"/>
      <c r="E156" s="261"/>
      <c r="F156" s="224"/>
      <c r="G156" s="224"/>
      <c r="H156" s="224"/>
      <c r="I156" s="224"/>
      <c r="J156" s="224"/>
      <c r="K156" s="224"/>
      <c r="L156" s="224"/>
      <c r="M156" s="224"/>
      <c r="N156" s="224"/>
      <c r="O156" s="224"/>
      <c r="P156" s="224"/>
      <c r="Q156" s="224"/>
      <c r="R156" s="224"/>
      <c r="S156" s="224"/>
      <c r="T156" s="224"/>
      <c r="U156" s="224"/>
      <c r="V156" s="224"/>
      <c r="W156" s="224"/>
      <c r="X156" s="224"/>
      <c r="Y156" s="224"/>
      <c r="Z156" s="224"/>
      <c r="AA156" s="224"/>
      <c r="AB156" s="224"/>
      <c r="AC156" s="224"/>
      <c r="AD156" s="224"/>
      <c r="AE156" s="224"/>
      <c r="AF156" s="224"/>
      <c r="AG156" s="224"/>
      <c r="AH156" s="224"/>
      <c r="AI156" s="224"/>
      <c r="AJ156" s="224"/>
      <c r="AK156" s="224"/>
      <c r="AL156" s="224"/>
      <c r="AM156" s="224"/>
      <c r="AN156" s="224"/>
      <c r="AO156" s="224"/>
      <c r="AP156" s="224"/>
      <c r="AQ156" s="224"/>
      <c r="AR156" s="224"/>
      <c r="AS156" s="224"/>
      <c r="AT156" s="224"/>
      <c r="AU156" s="224"/>
      <c r="AV156" s="224"/>
      <c r="AW156" s="224"/>
      <c r="AX156" s="224"/>
      <c r="AY156" s="224"/>
      <c r="AZ156" s="224"/>
      <c r="BA156" s="224"/>
      <c r="BB156" s="224"/>
      <c r="BC156" s="224"/>
      <c r="BD156" s="224"/>
      <c r="BE156" s="224"/>
      <c r="BF156" s="224"/>
      <c r="BG156" s="224"/>
      <c r="BH156" s="224"/>
      <c r="BI156" s="224"/>
      <c r="BJ156" s="224"/>
      <c r="BK156" s="224"/>
      <c r="BL156" s="224"/>
      <c r="BM156" s="224"/>
      <c r="BN156" s="224"/>
      <c r="BO156" s="224"/>
      <c r="BP156" s="224"/>
      <c r="BQ156" s="224"/>
      <c r="BR156" s="224"/>
      <c r="BS156" s="224"/>
      <c r="BT156" s="224"/>
      <c r="BU156" s="224"/>
      <c r="BV156" s="224"/>
      <c r="BX156" s="208"/>
    </row>
    <row r="157" spans="2:76" x14ac:dyDescent="0.2">
      <c r="B157" s="210"/>
      <c r="C157" s="203"/>
      <c r="D157" s="203"/>
      <c r="E157" s="261"/>
      <c r="F157" s="224"/>
      <c r="G157" s="224"/>
      <c r="H157" s="224"/>
      <c r="I157" s="224"/>
      <c r="J157" s="224"/>
      <c r="K157" s="224"/>
      <c r="L157" s="224"/>
      <c r="M157" s="224"/>
      <c r="N157" s="224"/>
      <c r="O157" s="224"/>
      <c r="P157" s="224"/>
      <c r="Q157" s="224"/>
      <c r="R157" s="224"/>
      <c r="S157" s="224"/>
      <c r="T157" s="224"/>
      <c r="U157" s="224"/>
      <c r="V157" s="224"/>
      <c r="W157" s="224"/>
      <c r="X157" s="224"/>
      <c r="Y157" s="224"/>
      <c r="Z157" s="224"/>
      <c r="AA157" s="224"/>
      <c r="AB157" s="224"/>
      <c r="AC157" s="224"/>
      <c r="AD157" s="224"/>
      <c r="AE157" s="224"/>
      <c r="AF157" s="224"/>
      <c r="AG157" s="224"/>
      <c r="AH157" s="224"/>
      <c r="AI157" s="224"/>
      <c r="AJ157" s="224"/>
      <c r="AK157" s="224"/>
      <c r="AL157" s="224"/>
      <c r="AM157" s="224"/>
      <c r="AN157" s="224"/>
      <c r="AO157" s="224"/>
      <c r="AP157" s="224"/>
      <c r="AQ157" s="224"/>
      <c r="AR157" s="224"/>
      <c r="AS157" s="224"/>
      <c r="AT157" s="224"/>
      <c r="AU157" s="224"/>
      <c r="AV157" s="224"/>
      <c r="AW157" s="224"/>
      <c r="AX157" s="224"/>
      <c r="AY157" s="224"/>
      <c r="AZ157" s="224"/>
      <c r="BA157" s="224"/>
      <c r="BB157" s="224"/>
      <c r="BC157" s="224"/>
      <c r="BD157" s="224"/>
      <c r="BE157" s="224"/>
      <c r="BF157" s="224"/>
      <c r="BG157" s="224"/>
      <c r="BH157" s="224"/>
      <c r="BI157" s="224"/>
      <c r="BJ157" s="224"/>
      <c r="BK157" s="224"/>
      <c r="BL157" s="224"/>
      <c r="BM157" s="224"/>
      <c r="BN157" s="224"/>
      <c r="BO157" s="224"/>
      <c r="BP157" s="224"/>
      <c r="BQ157" s="224"/>
      <c r="BR157" s="224"/>
      <c r="BS157" s="224"/>
      <c r="BT157" s="224"/>
      <c r="BU157" s="224"/>
      <c r="BV157" s="224"/>
      <c r="BX157" s="208"/>
    </row>
    <row r="158" spans="2:76" x14ac:dyDescent="0.2">
      <c r="B158" s="210"/>
      <c r="C158" s="203"/>
      <c r="D158" s="203"/>
      <c r="E158" s="261"/>
      <c r="F158" s="224"/>
      <c r="G158" s="224"/>
      <c r="H158" s="224"/>
      <c r="I158" s="224"/>
      <c r="J158" s="224"/>
      <c r="K158" s="224"/>
      <c r="L158" s="224"/>
      <c r="M158" s="224"/>
      <c r="N158" s="224"/>
      <c r="O158" s="224"/>
      <c r="P158" s="224"/>
      <c r="Q158" s="224"/>
      <c r="R158" s="224"/>
      <c r="S158" s="224"/>
      <c r="T158" s="224"/>
      <c r="U158" s="224"/>
      <c r="V158" s="224"/>
      <c r="W158" s="224"/>
      <c r="X158" s="224"/>
      <c r="Y158" s="224"/>
      <c r="Z158" s="224"/>
      <c r="AA158" s="224"/>
      <c r="AB158" s="224"/>
      <c r="AC158" s="224"/>
      <c r="AD158" s="224"/>
      <c r="AE158" s="224"/>
      <c r="AF158" s="224"/>
      <c r="AG158" s="224"/>
      <c r="AH158" s="224"/>
      <c r="AI158" s="224"/>
      <c r="AJ158" s="224"/>
      <c r="AK158" s="224"/>
      <c r="AL158" s="224"/>
      <c r="AM158" s="224"/>
      <c r="AN158" s="224"/>
      <c r="AO158" s="224"/>
      <c r="AP158" s="224"/>
      <c r="AQ158" s="224"/>
      <c r="AR158" s="224"/>
      <c r="AS158" s="224"/>
      <c r="AT158" s="224"/>
      <c r="AU158" s="224"/>
      <c r="AV158" s="224"/>
      <c r="AW158" s="224"/>
      <c r="AX158" s="224"/>
      <c r="AY158" s="224"/>
      <c r="AZ158" s="224"/>
      <c r="BA158" s="224"/>
      <c r="BB158" s="224"/>
      <c r="BC158" s="224"/>
      <c r="BD158" s="224"/>
      <c r="BE158" s="224"/>
      <c r="BF158" s="224"/>
      <c r="BG158" s="224"/>
      <c r="BH158" s="224"/>
      <c r="BI158" s="224"/>
      <c r="BJ158" s="224"/>
      <c r="BK158" s="224"/>
      <c r="BL158" s="224"/>
      <c r="BM158" s="224"/>
      <c r="BN158" s="224"/>
      <c r="BO158" s="224"/>
      <c r="BP158" s="224"/>
      <c r="BQ158" s="224"/>
      <c r="BR158" s="224"/>
      <c r="BS158" s="224"/>
      <c r="BT158" s="224"/>
      <c r="BU158" s="224"/>
      <c r="BV158" s="224"/>
      <c r="BX158" s="208"/>
    </row>
    <row r="159" spans="2:76" x14ac:dyDescent="0.2">
      <c r="B159" s="210"/>
      <c r="C159" s="203"/>
      <c r="D159" s="203"/>
      <c r="E159" s="261"/>
      <c r="F159" s="224"/>
      <c r="G159" s="224"/>
      <c r="H159" s="224"/>
      <c r="I159" s="224"/>
      <c r="J159" s="224"/>
      <c r="K159" s="224"/>
      <c r="L159" s="224"/>
      <c r="M159" s="224"/>
      <c r="N159" s="224"/>
      <c r="O159" s="224"/>
      <c r="P159" s="224"/>
      <c r="Q159" s="224"/>
      <c r="R159" s="224"/>
      <c r="S159" s="224"/>
      <c r="T159" s="224"/>
      <c r="U159" s="224"/>
      <c r="V159" s="224"/>
      <c r="W159" s="224"/>
      <c r="X159" s="224"/>
      <c r="Y159" s="224"/>
      <c r="Z159" s="224"/>
      <c r="AA159" s="224"/>
      <c r="AB159" s="224"/>
      <c r="AC159" s="224"/>
      <c r="AD159" s="224"/>
      <c r="AE159" s="224"/>
      <c r="AF159" s="224"/>
      <c r="AG159" s="224"/>
      <c r="AH159" s="224"/>
      <c r="AI159" s="224"/>
      <c r="AJ159" s="224"/>
      <c r="AK159" s="224"/>
      <c r="AL159" s="224"/>
      <c r="AM159" s="224"/>
      <c r="AN159" s="224"/>
      <c r="AO159" s="224"/>
      <c r="AP159" s="224"/>
      <c r="AQ159" s="224"/>
      <c r="AR159" s="224"/>
      <c r="AS159" s="224"/>
      <c r="AT159" s="224"/>
      <c r="AU159" s="224"/>
      <c r="AV159" s="224"/>
      <c r="AW159" s="224"/>
      <c r="AX159" s="224"/>
      <c r="AY159" s="224"/>
      <c r="AZ159" s="224"/>
      <c r="BA159" s="224"/>
      <c r="BB159" s="224"/>
      <c r="BC159" s="224"/>
      <c r="BD159" s="224"/>
      <c r="BE159" s="224"/>
      <c r="BF159" s="224"/>
      <c r="BG159" s="224"/>
      <c r="BH159" s="224"/>
      <c r="BI159" s="224"/>
      <c r="BJ159" s="224"/>
      <c r="BK159" s="224"/>
      <c r="BL159" s="224"/>
      <c r="BM159" s="224"/>
      <c r="BN159" s="224"/>
      <c r="BO159" s="224"/>
      <c r="BP159" s="224"/>
      <c r="BQ159" s="224"/>
      <c r="BR159" s="224"/>
      <c r="BS159" s="224"/>
      <c r="BT159" s="224"/>
      <c r="BU159" s="224"/>
      <c r="BV159" s="224"/>
      <c r="BX159" s="208"/>
    </row>
    <row r="160" spans="2:76" x14ac:dyDescent="0.2">
      <c r="B160" s="210"/>
      <c r="C160" s="203"/>
      <c r="D160" s="203"/>
      <c r="E160" s="261"/>
      <c r="F160" s="224"/>
      <c r="G160" s="224"/>
      <c r="H160" s="224"/>
      <c r="I160" s="224"/>
      <c r="J160" s="224"/>
      <c r="K160" s="224"/>
      <c r="L160" s="224"/>
      <c r="M160" s="224"/>
      <c r="N160" s="224"/>
      <c r="O160" s="224"/>
      <c r="P160" s="224"/>
      <c r="Q160" s="224"/>
      <c r="R160" s="224"/>
      <c r="S160" s="224"/>
      <c r="T160" s="224"/>
      <c r="U160" s="224"/>
      <c r="V160" s="224"/>
      <c r="W160" s="224"/>
      <c r="X160" s="224"/>
      <c r="Y160" s="224"/>
      <c r="Z160" s="224"/>
      <c r="AA160" s="224"/>
      <c r="AB160" s="224"/>
      <c r="AC160" s="224"/>
      <c r="AD160" s="224"/>
      <c r="AE160" s="224"/>
      <c r="AF160" s="224"/>
      <c r="AG160" s="224"/>
      <c r="AH160" s="224"/>
      <c r="AI160" s="224"/>
      <c r="AJ160" s="224"/>
      <c r="AK160" s="224"/>
      <c r="AL160" s="224"/>
      <c r="AM160" s="224"/>
      <c r="AN160" s="224"/>
      <c r="AO160" s="224"/>
      <c r="AP160" s="224"/>
      <c r="AQ160" s="224"/>
      <c r="AR160" s="224"/>
      <c r="AS160" s="224"/>
      <c r="AT160" s="224"/>
      <c r="AU160" s="224"/>
      <c r="AV160" s="224"/>
      <c r="AW160" s="224"/>
      <c r="AX160" s="224"/>
      <c r="AY160" s="224"/>
      <c r="AZ160" s="224"/>
      <c r="BA160" s="224"/>
      <c r="BB160" s="224"/>
      <c r="BC160" s="224"/>
      <c r="BD160" s="224"/>
      <c r="BE160" s="224"/>
      <c r="BF160" s="224"/>
      <c r="BG160" s="224"/>
      <c r="BH160" s="224"/>
      <c r="BI160" s="224"/>
      <c r="BJ160" s="224"/>
      <c r="BK160" s="224"/>
      <c r="BL160" s="224"/>
      <c r="BM160" s="224"/>
      <c r="BN160" s="224"/>
      <c r="BO160" s="224"/>
      <c r="BP160" s="224"/>
      <c r="BQ160" s="224"/>
      <c r="BR160" s="224"/>
      <c r="BS160" s="224"/>
      <c r="BT160" s="224"/>
      <c r="BU160" s="224"/>
      <c r="BV160" s="224"/>
      <c r="BX160" s="208"/>
    </row>
    <row r="161" spans="2:76" x14ac:dyDescent="0.2">
      <c r="B161" s="210"/>
      <c r="C161" s="203"/>
      <c r="D161" s="203"/>
      <c r="E161" s="261"/>
      <c r="F161" s="224"/>
      <c r="G161" s="224"/>
      <c r="H161" s="224"/>
      <c r="I161" s="224"/>
      <c r="J161" s="224"/>
      <c r="K161" s="224"/>
      <c r="L161" s="224"/>
      <c r="M161" s="224"/>
      <c r="N161" s="224"/>
      <c r="O161" s="224"/>
      <c r="P161" s="224"/>
      <c r="Q161" s="224"/>
      <c r="R161" s="224"/>
      <c r="S161" s="224"/>
      <c r="T161" s="224"/>
      <c r="U161" s="224"/>
      <c r="V161" s="224"/>
      <c r="W161" s="224"/>
      <c r="X161" s="224"/>
      <c r="Y161" s="224"/>
      <c r="Z161" s="224"/>
      <c r="AA161" s="224"/>
      <c r="AB161" s="224"/>
      <c r="AC161" s="224"/>
      <c r="AD161" s="224"/>
      <c r="AE161" s="224"/>
      <c r="AF161" s="224"/>
      <c r="AG161" s="224"/>
      <c r="AH161" s="224"/>
      <c r="AI161" s="224"/>
      <c r="AJ161" s="224"/>
      <c r="AK161" s="224"/>
      <c r="AL161" s="224"/>
      <c r="AM161" s="224"/>
      <c r="AN161" s="224"/>
      <c r="AO161" s="224"/>
      <c r="AP161" s="224"/>
      <c r="AQ161" s="224"/>
      <c r="AR161" s="224"/>
      <c r="AS161" s="224"/>
      <c r="AT161" s="224"/>
      <c r="AU161" s="224"/>
      <c r="AV161" s="224"/>
      <c r="AW161" s="224"/>
      <c r="AX161" s="224"/>
      <c r="AY161" s="224"/>
      <c r="AZ161" s="224"/>
      <c r="BA161" s="224"/>
      <c r="BB161" s="224"/>
      <c r="BC161" s="224"/>
      <c r="BD161" s="224"/>
      <c r="BE161" s="224"/>
      <c r="BF161" s="224"/>
      <c r="BG161" s="224"/>
      <c r="BH161" s="224"/>
      <c r="BI161" s="224"/>
      <c r="BJ161" s="224"/>
      <c r="BK161" s="224"/>
      <c r="BL161" s="224"/>
      <c r="BM161" s="224"/>
      <c r="BN161" s="224"/>
      <c r="BO161" s="224"/>
      <c r="BP161" s="224"/>
      <c r="BQ161" s="224"/>
      <c r="BR161" s="224"/>
      <c r="BS161" s="224"/>
      <c r="BT161" s="224"/>
      <c r="BU161" s="224"/>
      <c r="BV161" s="224"/>
      <c r="BX161" s="208"/>
    </row>
    <row r="162" spans="2:76" x14ac:dyDescent="0.2">
      <c r="B162" s="210"/>
      <c r="C162" s="203"/>
      <c r="D162" s="203"/>
      <c r="E162" s="261"/>
      <c r="F162" s="224"/>
      <c r="G162" s="224"/>
      <c r="H162" s="224"/>
      <c r="I162" s="224"/>
      <c r="J162" s="224"/>
      <c r="K162" s="224"/>
      <c r="L162" s="224"/>
      <c r="M162" s="224"/>
      <c r="N162" s="224"/>
      <c r="O162" s="224"/>
      <c r="P162" s="224"/>
      <c r="Q162" s="224"/>
      <c r="R162" s="224"/>
      <c r="S162" s="224"/>
      <c r="T162" s="224"/>
      <c r="U162" s="224"/>
      <c r="V162" s="224"/>
      <c r="W162" s="224"/>
      <c r="X162" s="224"/>
      <c r="Y162" s="224"/>
      <c r="Z162" s="224"/>
      <c r="AA162" s="224"/>
      <c r="AB162" s="224"/>
      <c r="AC162" s="224"/>
      <c r="AD162" s="224"/>
      <c r="AE162" s="224"/>
      <c r="AF162" s="224"/>
      <c r="AG162" s="224"/>
      <c r="AH162" s="224"/>
      <c r="AI162" s="224"/>
      <c r="AJ162" s="224"/>
      <c r="AK162" s="224"/>
      <c r="AL162" s="224"/>
      <c r="AM162" s="224"/>
      <c r="AN162" s="224"/>
      <c r="AO162" s="224"/>
      <c r="AP162" s="224"/>
      <c r="AQ162" s="224"/>
      <c r="AR162" s="224"/>
      <c r="AS162" s="224"/>
      <c r="AT162" s="224"/>
      <c r="AU162" s="224"/>
      <c r="AV162" s="224"/>
      <c r="AW162" s="224"/>
      <c r="AX162" s="224"/>
      <c r="AY162" s="224"/>
      <c r="AZ162" s="224"/>
      <c r="BA162" s="224"/>
      <c r="BB162" s="224"/>
      <c r="BC162" s="224"/>
      <c r="BD162" s="224"/>
      <c r="BE162" s="224"/>
      <c r="BF162" s="224"/>
      <c r="BG162" s="224"/>
      <c r="BH162" s="224"/>
      <c r="BI162" s="224"/>
      <c r="BJ162" s="224"/>
      <c r="BK162" s="224"/>
      <c r="BL162" s="224"/>
      <c r="BM162" s="224"/>
      <c r="BN162" s="224"/>
      <c r="BO162" s="224"/>
      <c r="BP162" s="224"/>
      <c r="BQ162" s="224"/>
      <c r="BR162" s="224"/>
      <c r="BS162" s="224"/>
      <c r="BT162" s="224"/>
      <c r="BU162" s="224"/>
      <c r="BV162" s="224"/>
      <c r="BX162" s="208"/>
    </row>
    <row r="163" spans="2:76" x14ac:dyDescent="0.2">
      <c r="B163" s="210"/>
      <c r="C163" s="203"/>
      <c r="D163" s="203"/>
      <c r="E163" s="261"/>
      <c r="F163" s="224"/>
      <c r="G163" s="224"/>
      <c r="H163" s="224"/>
      <c r="I163" s="224"/>
      <c r="J163" s="224"/>
      <c r="K163" s="224"/>
      <c r="L163" s="224"/>
      <c r="M163" s="224"/>
      <c r="N163" s="224"/>
      <c r="O163" s="224"/>
      <c r="P163" s="224"/>
      <c r="Q163" s="224"/>
      <c r="R163" s="224"/>
      <c r="S163" s="224"/>
      <c r="T163" s="224"/>
      <c r="U163" s="224"/>
      <c r="V163" s="224"/>
      <c r="W163" s="224"/>
      <c r="X163" s="224"/>
      <c r="Y163" s="224"/>
      <c r="Z163" s="224"/>
      <c r="AA163" s="224"/>
      <c r="AB163" s="224"/>
      <c r="AC163" s="224"/>
      <c r="AD163" s="224"/>
      <c r="AE163" s="224"/>
      <c r="AF163" s="224"/>
      <c r="AG163" s="224"/>
      <c r="AH163" s="224"/>
      <c r="AI163" s="224"/>
      <c r="AJ163" s="224"/>
      <c r="AK163" s="224"/>
      <c r="AL163" s="224"/>
      <c r="AM163" s="224"/>
      <c r="AN163" s="224"/>
      <c r="AO163" s="224"/>
      <c r="AP163" s="224"/>
      <c r="AQ163" s="224"/>
      <c r="AR163" s="224"/>
      <c r="AS163" s="224"/>
      <c r="AT163" s="224"/>
      <c r="AU163" s="224"/>
      <c r="AV163" s="224"/>
      <c r="AW163" s="224"/>
      <c r="AX163" s="224"/>
      <c r="AY163" s="224"/>
      <c r="AZ163" s="224"/>
      <c r="BA163" s="224"/>
      <c r="BB163" s="224"/>
      <c r="BC163" s="224"/>
      <c r="BD163" s="224"/>
      <c r="BE163" s="224"/>
      <c r="BF163" s="224"/>
      <c r="BG163" s="224"/>
      <c r="BH163" s="224"/>
      <c r="BI163" s="224"/>
      <c r="BJ163" s="224"/>
      <c r="BK163" s="224"/>
      <c r="BL163" s="224"/>
      <c r="BM163" s="224"/>
      <c r="BN163" s="224"/>
      <c r="BO163" s="224"/>
      <c r="BP163" s="224"/>
      <c r="BQ163" s="224"/>
      <c r="BR163" s="224"/>
      <c r="BS163" s="224"/>
      <c r="BT163" s="224"/>
      <c r="BU163" s="224"/>
      <c r="BV163" s="224"/>
      <c r="BX163" s="208"/>
    </row>
    <row r="164" spans="2:76" x14ac:dyDescent="0.2">
      <c r="B164" s="210"/>
      <c r="C164" s="203"/>
      <c r="D164" s="203"/>
      <c r="E164" s="261"/>
      <c r="F164" s="224"/>
      <c r="G164" s="224"/>
      <c r="H164" s="224"/>
      <c r="I164" s="224"/>
      <c r="J164" s="224"/>
      <c r="K164" s="224"/>
      <c r="L164" s="224"/>
      <c r="M164" s="224"/>
      <c r="N164" s="224"/>
      <c r="O164" s="224"/>
      <c r="P164" s="224"/>
      <c r="Q164" s="224"/>
      <c r="R164" s="224"/>
      <c r="S164" s="224"/>
      <c r="T164" s="224"/>
      <c r="U164" s="224"/>
      <c r="V164" s="224"/>
      <c r="W164" s="224"/>
      <c r="X164" s="224"/>
      <c r="Y164" s="224"/>
      <c r="Z164" s="224"/>
      <c r="AA164" s="224"/>
      <c r="AB164" s="224"/>
      <c r="AC164" s="224"/>
      <c r="AD164" s="224"/>
      <c r="AE164" s="224"/>
      <c r="AF164" s="224"/>
      <c r="AG164" s="224"/>
      <c r="AH164" s="224"/>
      <c r="AI164" s="224"/>
      <c r="AJ164" s="224"/>
      <c r="AK164" s="224"/>
      <c r="AL164" s="224"/>
      <c r="AM164" s="224"/>
      <c r="AN164" s="224"/>
      <c r="AO164" s="224"/>
      <c r="AP164" s="224"/>
      <c r="AQ164" s="224"/>
      <c r="AR164" s="224"/>
      <c r="AS164" s="224"/>
      <c r="AT164" s="224"/>
      <c r="AU164" s="224"/>
      <c r="AV164" s="224"/>
      <c r="AW164" s="224"/>
      <c r="AX164" s="224"/>
      <c r="AY164" s="224"/>
      <c r="AZ164" s="224"/>
      <c r="BA164" s="224"/>
      <c r="BB164" s="224"/>
      <c r="BC164" s="224"/>
      <c r="BD164" s="224"/>
      <c r="BE164" s="224"/>
      <c r="BF164" s="224"/>
      <c r="BG164" s="224"/>
      <c r="BH164" s="224"/>
      <c r="BI164" s="224"/>
      <c r="BJ164" s="224"/>
      <c r="BK164" s="224"/>
      <c r="BL164" s="224"/>
      <c r="BM164" s="224"/>
      <c r="BN164" s="224"/>
      <c r="BO164" s="224"/>
      <c r="BP164" s="224"/>
      <c r="BQ164" s="224"/>
      <c r="BR164" s="224"/>
      <c r="BS164" s="224"/>
      <c r="BT164" s="224"/>
      <c r="BU164" s="224"/>
      <c r="BV164" s="224"/>
      <c r="BX164" s="208"/>
    </row>
    <row r="165" spans="2:76" x14ac:dyDescent="0.2">
      <c r="B165" s="210"/>
      <c r="C165" s="203"/>
      <c r="D165" s="203"/>
      <c r="E165" s="261"/>
      <c r="F165" s="224"/>
      <c r="G165" s="224"/>
      <c r="H165" s="224"/>
      <c r="I165" s="224"/>
      <c r="J165" s="224"/>
      <c r="K165" s="224"/>
      <c r="L165" s="224"/>
      <c r="M165" s="224"/>
      <c r="N165" s="224"/>
      <c r="O165" s="224"/>
      <c r="P165" s="224"/>
      <c r="Q165" s="224"/>
      <c r="R165" s="224"/>
      <c r="S165" s="224"/>
      <c r="T165" s="224"/>
      <c r="U165" s="224"/>
      <c r="V165" s="224"/>
      <c r="W165" s="224"/>
      <c r="X165" s="224"/>
      <c r="Y165" s="224"/>
      <c r="Z165" s="224"/>
      <c r="AA165" s="224"/>
      <c r="AB165" s="224"/>
      <c r="AC165" s="224"/>
      <c r="AD165" s="224"/>
      <c r="AE165" s="224"/>
      <c r="AF165" s="224"/>
      <c r="AG165" s="224"/>
      <c r="AH165" s="224"/>
      <c r="AI165" s="224"/>
      <c r="AJ165" s="224"/>
      <c r="AK165" s="224"/>
      <c r="AL165" s="224"/>
      <c r="AM165" s="224"/>
      <c r="AN165" s="224"/>
      <c r="AO165" s="224"/>
      <c r="AP165" s="224"/>
      <c r="AQ165" s="224"/>
      <c r="AR165" s="224"/>
      <c r="AS165" s="224"/>
      <c r="AT165" s="224"/>
      <c r="AU165" s="224"/>
      <c r="AV165" s="224"/>
      <c r="AW165" s="224"/>
      <c r="AX165" s="224"/>
      <c r="AY165" s="224"/>
      <c r="AZ165" s="224"/>
      <c r="BA165" s="224"/>
      <c r="BB165" s="224"/>
      <c r="BC165" s="224"/>
      <c r="BD165" s="224"/>
      <c r="BE165" s="224"/>
      <c r="BF165" s="224"/>
      <c r="BG165" s="224"/>
      <c r="BH165" s="224"/>
      <c r="BI165" s="224"/>
      <c r="BJ165" s="224"/>
      <c r="BK165" s="224"/>
      <c r="BL165" s="224"/>
      <c r="BM165" s="224"/>
      <c r="BN165" s="224"/>
      <c r="BO165" s="224"/>
      <c r="BP165" s="224"/>
      <c r="BQ165" s="224"/>
      <c r="BR165" s="224"/>
      <c r="BS165" s="224"/>
      <c r="BT165" s="224"/>
      <c r="BU165" s="224"/>
      <c r="BV165" s="224"/>
      <c r="BX165" s="208"/>
    </row>
    <row r="166" spans="2:76" x14ac:dyDescent="0.2">
      <c r="B166" s="210"/>
      <c r="C166" s="203"/>
      <c r="D166" s="203"/>
      <c r="E166" s="261"/>
      <c r="F166" s="224"/>
      <c r="G166" s="224"/>
      <c r="H166" s="224"/>
      <c r="I166" s="224"/>
      <c r="J166" s="224"/>
      <c r="K166" s="224"/>
      <c r="L166" s="224"/>
      <c r="M166" s="224"/>
      <c r="N166" s="224"/>
      <c r="O166" s="224"/>
      <c r="P166" s="224"/>
      <c r="Q166" s="224"/>
      <c r="R166" s="224"/>
      <c r="S166" s="224"/>
      <c r="T166" s="224"/>
      <c r="U166" s="224"/>
      <c r="V166" s="224"/>
      <c r="W166" s="224"/>
      <c r="X166" s="224"/>
      <c r="Y166" s="224"/>
      <c r="Z166" s="224"/>
      <c r="AA166" s="224"/>
      <c r="AB166" s="224"/>
      <c r="AC166" s="224"/>
      <c r="AD166" s="224"/>
      <c r="AE166" s="224"/>
      <c r="AF166" s="224"/>
      <c r="AG166" s="224"/>
      <c r="AH166" s="224"/>
      <c r="AI166" s="224"/>
      <c r="AJ166" s="224"/>
      <c r="AK166" s="224"/>
      <c r="AL166" s="224"/>
      <c r="AM166" s="224"/>
      <c r="AN166" s="224"/>
      <c r="AO166" s="224"/>
      <c r="AP166" s="224"/>
      <c r="AQ166" s="224"/>
      <c r="AR166" s="224"/>
      <c r="AS166" s="224"/>
      <c r="AT166" s="224"/>
      <c r="AU166" s="224"/>
      <c r="AV166" s="224"/>
      <c r="AW166" s="224"/>
      <c r="AX166" s="224"/>
      <c r="AY166" s="224"/>
      <c r="AZ166" s="224"/>
      <c r="BA166" s="224"/>
      <c r="BB166" s="224"/>
      <c r="BC166" s="224"/>
      <c r="BD166" s="224"/>
      <c r="BE166" s="224"/>
      <c r="BF166" s="224"/>
      <c r="BG166" s="224"/>
      <c r="BH166" s="224"/>
      <c r="BI166" s="224"/>
      <c r="BJ166" s="224"/>
      <c r="BK166" s="224"/>
      <c r="BL166" s="224"/>
      <c r="BM166" s="224"/>
      <c r="BN166" s="224"/>
      <c r="BO166" s="224"/>
      <c r="BP166" s="224"/>
      <c r="BQ166" s="224"/>
      <c r="BR166" s="224"/>
      <c r="BS166" s="224"/>
      <c r="BT166" s="224"/>
      <c r="BU166" s="224"/>
      <c r="BV166" s="224"/>
      <c r="BX166" s="208"/>
    </row>
    <row r="167" spans="2:76" x14ac:dyDescent="0.2">
      <c r="B167" s="210"/>
      <c r="C167" s="203"/>
      <c r="D167" s="203"/>
      <c r="E167" s="261"/>
      <c r="F167" s="224"/>
      <c r="G167" s="224"/>
      <c r="H167" s="224"/>
      <c r="I167" s="224"/>
      <c r="J167" s="224"/>
      <c r="K167" s="224"/>
      <c r="L167" s="224"/>
      <c r="M167" s="224"/>
      <c r="N167" s="224"/>
      <c r="O167" s="224"/>
      <c r="P167" s="224"/>
      <c r="Q167" s="224"/>
      <c r="R167" s="224"/>
      <c r="S167" s="224"/>
      <c r="T167" s="224"/>
      <c r="U167" s="224"/>
      <c r="V167" s="224"/>
      <c r="W167" s="224"/>
      <c r="X167" s="224"/>
      <c r="Y167" s="224"/>
      <c r="Z167" s="224"/>
      <c r="AA167" s="224"/>
      <c r="AB167" s="224"/>
      <c r="AC167" s="224"/>
      <c r="AD167" s="224"/>
      <c r="AE167" s="224"/>
      <c r="AF167" s="224"/>
      <c r="AG167" s="224"/>
      <c r="AH167" s="224"/>
      <c r="AI167" s="224"/>
      <c r="AJ167" s="224"/>
      <c r="AK167" s="224"/>
      <c r="AL167" s="224"/>
      <c r="AM167" s="224"/>
      <c r="AN167" s="224"/>
      <c r="AO167" s="224"/>
      <c r="AP167" s="224"/>
      <c r="AQ167" s="224"/>
      <c r="AR167" s="224"/>
      <c r="AS167" s="224"/>
      <c r="AT167" s="224"/>
      <c r="AU167" s="224"/>
      <c r="AV167" s="224"/>
      <c r="AW167" s="224"/>
      <c r="AX167" s="224"/>
      <c r="AY167" s="224"/>
      <c r="AZ167" s="224"/>
      <c r="BA167" s="224"/>
      <c r="BB167" s="224"/>
      <c r="BC167" s="224"/>
      <c r="BD167" s="224"/>
      <c r="BE167" s="224"/>
      <c r="BF167" s="224"/>
      <c r="BG167" s="224"/>
      <c r="BH167" s="224"/>
      <c r="BI167" s="224"/>
      <c r="BJ167" s="224"/>
      <c r="BK167" s="224"/>
      <c r="BL167" s="224"/>
      <c r="BM167" s="224"/>
      <c r="BN167" s="224"/>
      <c r="BO167" s="224"/>
      <c r="BP167" s="224"/>
      <c r="BQ167" s="224"/>
      <c r="BR167" s="224"/>
      <c r="BS167" s="224"/>
      <c r="BT167" s="224"/>
      <c r="BU167" s="224"/>
      <c r="BV167" s="224"/>
      <c r="BX167" s="208"/>
    </row>
    <row r="168" spans="2:76" x14ac:dyDescent="0.2">
      <c r="B168" s="210"/>
      <c r="C168" s="203"/>
      <c r="D168" s="203"/>
      <c r="E168" s="261"/>
      <c r="F168" s="224"/>
      <c r="G168" s="224"/>
      <c r="H168" s="224"/>
      <c r="I168" s="224"/>
      <c r="J168" s="224"/>
      <c r="K168" s="224"/>
      <c r="L168" s="224"/>
      <c r="M168" s="224"/>
      <c r="N168" s="224"/>
      <c r="O168" s="224"/>
      <c r="P168" s="224"/>
      <c r="Q168" s="224"/>
      <c r="R168" s="224"/>
      <c r="S168" s="224"/>
      <c r="T168" s="224"/>
      <c r="U168" s="224"/>
      <c r="V168" s="224"/>
      <c r="W168" s="224"/>
      <c r="X168" s="224"/>
      <c r="Y168" s="224"/>
      <c r="Z168" s="224"/>
      <c r="AA168" s="224"/>
      <c r="AB168" s="224"/>
      <c r="AC168" s="224"/>
      <c r="AD168" s="224"/>
      <c r="AE168" s="224"/>
      <c r="AF168" s="224"/>
      <c r="AG168" s="224"/>
      <c r="AH168" s="224"/>
      <c r="AI168" s="224"/>
      <c r="AJ168" s="224"/>
      <c r="AK168" s="224"/>
      <c r="AL168" s="224"/>
      <c r="AM168" s="224"/>
      <c r="AN168" s="224"/>
      <c r="AO168" s="224"/>
      <c r="AP168" s="224"/>
      <c r="AQ168" s="224"/>
      <c r="AR168" s="224"/>
      <c r="AS168" s="224"/>
      <c r="AT168" s="224"/>
      <c r="AU168" s="224"/>
      <c r="AV168" s="224"/>
      <c r="AW168" s="224"/>
      <c r="AX168" s="224"/>
      <c r="AY168" s="224"/>
      <c r="AZ168" s="224"/>
      <c r="BA168" s="224"/>
      <c r="BB168" s="224"/>
      <c r="BC168" s="224"/>
      <c r="BD168" s="224"/>
      <c r="BE168" s="224"/>
      <c r="BF168" s="224"/>
      <c r="BG168" s="224"/>
      <c r="BH168" s="224"/>
      <c r="BI168" s="224"/>
      <c r="BJ168" s="224"/>
      <c r="BK168" s="224"/>
      <c r="BL168" s="224"/>
      <c r="BM168" s="224"/>
      <c r="BN168" s="224"/>
      <c r="BO168" s="224"/>
      <c r="BP168" s="224"/>
      <c r="BQ168" s="224"/>
      <c r="BR168" s="224"/>
      <c r="BS168" s="224"/>
      <c r="BT168" s="224"/>
      <c r="BU168" s="224"/>
      <c r="BV168" s="224"/>
      <c r="BX168" s="208"/>
    </row>
    <row r="169" spans="2:76" x14ac:dyDescent="0.2">
      <c r="B169" s="210"/>
      <c r="C169" s="203"/>
      <c r="D169" s="203"/>
      <c r="E169" s="261"/>
      <c r="F169" s="224"/>
      <c r="G169" s="224"/>
      <c r="H169" s="224"/>
      <c r="I169" s="224"/>
      <c r="J169" s="224"/>
      <c r="K169" s="224"/>
      <c r="L169" s="224"/>
      <c r="M169" s="224"/>
      <c r="N169" s="224"/>
      <c r="O169" s="224"/>
      <c r="P169" s="224"/>
      <c r="Q169" s="224"/>
      <c r="R169" s="224"/>
      <c r="S169" s="224"/>
      <c r="T169" s="224"/>
      <c r="U169" s="224"/>
      <c r="V169" s="224"/>
      <c r="W169" s="224"/>
      <c r="X169" s="224"/>
      <c r="Y169" s="224"/>
      <c r="Z169" s="224"/>
      <c r="AA169" s="224"/>
      <c r="AB169" s="224"/>
      <c r="AC169" s="224"/>
      <c r="AD169" s="224"/>
      <c r="AE169" s="224"/>
      <c r="AF169" s="224"/>
      <c r="AG169" s="224"/>
      <c r="AH169" s="224"/>
      <c r="AI169" s="224"/>
      <c r="AJ169" s="224"/>
      <c r="AK169" s="224"/>
      <c r="AL169" s="224"/>
      <c r="AM169" s="224"/>
      <c r="AN169" s="224"/>
      <c r="AO169" s="224"/>
      <c r="AP169" s="224"/>
      <c r="AQ169" s="224"/>
      <c r="AR169" s="224"/>
      <c r="AS169" s="224"/>
      <c r="AT169" s="224"/>
      <c r="AU169" s="224"/>
      <c r="AV169" s="224"/>
      <c r="AW169" s="224"/>
      <c r="AX169" s="224"/>
      <c r="AY169" s="224"/>
      <c r="AZ169" s="224"/>
      <c r="BA169" s="224"/>
      <c r="BB169" s="224"/>
      <c r="BC169" s="224"/>
      <c r="BD169" s="224"/>
      <c r="BE169" s="224"/>
      <c r="BF169" s="224"/>
      <c r="BG169" s="224"/>
      <c r="BH169" s="224"/>
      <c r="BI169" s="224"/>
      <c r="BJ169" s="224"/>
      <c r="BK169" s="224"/>
      <c r="BL169" s="224"/>
      <c r="BM169" s="224"/>
      <c r="BN169" s="224"/>
      <c r="BO169" s="224"/>
      <c r="BP169" s="224"/>
      <c r="BQ169" s="224"/>
      <c r="BR169" s="224"/>
      <c r="BS169" s="224"/>
      <c r="BT169" s="224"/>
      <c r="BU169" s="224"/>
      <c r="BV169" s="224"/>
    </row>
    <row r="170" spans="2:76" x14ac:dyDescent="0.2">
      <c r="B170" s="210"/>
      <c r="C170" s="203"/>
      <c r="D170" s="203"/>
      <c r="E170" s="261"/>
      <c r="F170" s="224"/>
      <c r="G170" s="224"/>
      <c r="H170" s="224"/>
      <c r="I170" s="224"/>
      <c r="J170" s="224"/>
      <c r="K170" s="224"/>
      <c r="L170" s="224"/>
      <c r="M170" s="224"/>
      <c r="N170" s="224"/>
      <c r="O170" s="224"/>
      <c r="P170" s="224"/>
      <c r="Q170" s="224"/>
      <c r="R170" s="224"/>
      <c r="S170" s="224"/>
      <c r="T170" s="224"/>
      <c r="U170" s="224"/>
      <c r="V170" s="224"/>
      <c r="W170" s="224"/>
      <c r="X170" s="224"/>
      <c r="Y170" s="224"/>
      <c r="Z170" s="224"/>
      <c r="AA170" s="224"/>
      <c r="AB170" s="224"/>
      <c r="AC170" s="224"/>
      <c r="AD170" s="224"/>
      <c r="AE170" s="224"/>
      <c r="AF170" s="224"/>
      <c r="AG170" s="224"/>
      <c r="AH170" s="224"/>
      <c r="AI170" s="224"/>
      <c r="AJ170" s="224"/>
      <c r="AK170" s="224"/>
      <c r="AL170" s="224"/>
      <c r="AM170" s="224"/>
      <c r="AN170" s="224"/>
      <c r="AO170" s="224"/>
      <c r="AP170" s="224"/>
      <c r="AQ170" s="224"/>
      <c r="AR170" s="224"/>
      <c r="AS170" s="224"/>
      <c r="AT170" s="224"/>
      <c r="AU170" s="224"/>
      <c r="AV170" s="224"/>
      <c r="AW170" s="224"/>
      <c r="AX170" s="224"/>
      <c r="AY170" s="224"/>
      <c r="AZ170" s="224"/>
      <c r="BA170" s="224"/>
      <c r="BB170" s="224"/>
      <c r="BC170" s="224"/>
      <c r="BD170" s="224"/>
      <c r="BE170" s="224"/>
      <c r="BF170" s="224"/>
      <c r="BG170" s="224"/>
      <c r="BH170" s="224"/>
      <c r="BI170" s="224"/>
      <c r="BJ170" s="224"/>
      <c r="BK170" s="224"/>
      <c r="BL170" s="224"/>
      <c r="BM170" s="224"/>
      <c r="BN170" s="224"/>
      <c r="BO170" s="224"/>
      <c r="BP170" s="224"/>
      <c r="BQ170" s="224"/>
      <c r="BR170" s="224"/>
      <c r="BS170" s="224"/>
      <c r="BT170" s="224"/>
      <c r="BU170" s="224"/>
      <c r="BV170" s="224"/>
    </row>
    <row r="171" spans="2:76" x14ac:dyDescent="0.2">
      <c r="B171" s="210"/>
      <c r="C171" s="203"/>
      <c r="D171" s="203"/>
      <c r="E171" s="261"/>
      <c r="F171" s="224"/>
      <c r="G171" s="224"/>
      <c r="H171" s="224"/>
      <c r="I171" s="224"/>
      <c r="J171" s="224"/>
      <c r="K171" s="224"/>
      <c r="L171" s="224"/>
      <c r="M171" s="224"/>
      <c r="N171" s="224"/>
      <c r="O171" s="224"/>
      <c r="P171" s="224"/>
      <c r="Q171" s="224"/>
      <c r="R171" s="224"/>
      <c r="S171" s="224"/>
      <c r="T171" s="224"/>
      <c r="U171" s="224"/>
      <c r="V171" s="224"/>
      <c r="W171" s="224"/>
      <c r="X171" s="224"/>
      <c r="Y171" s="224"/>
      <c r="Z171" s="224"/>
      <c r="AA171" s="224"/>
      <c r="AB171" s="224"/>
      <c r="AC171" s="224"/>
      <c r="AD171" s="224"/>
      <c r="AE171" s="224"/>
      <c r="AF171" s="224"/>
      <c r="AG171" s="224"/>
      <c r="AH171" s="224"/>
      <c r="AI171" s="224"/>
      <c r="AJ171" s="224"/>
      <c r="AK171" s="224"/>
      <c r="AL171" s="224"/>
      <c r="AM171" s="224"/>
      <c r="AN171" s="224"/>
      <c r="AO171" s="224"/>
      <c r="AP171" s="224"/>
      <c r="AQ171" s="224"/>
      <c r="AR171" s="224"/>
      <c r="AS171" s="224"/>
      <c r="AT171" s="224"/>
      <c r="AU171" s="224"/>
      <c r="AV171" s="224"/>
      <c r="AW171" s="224"/>
      <c r="AX171" s="224"/>
      <c r="AY171" s="224"/>
      <c r="AZ171" s="224"/>
      <c r="BA171" s="224"/>
      <c r="BB171" s="224"/>
      <c r="BC171" s="224"/>
      <c r="BD171" s="224"/>
      <c r="BE171" s="224"/>
      <c r="BF171" s="224"/>
      <c r="BG171" s="224"/>
      <c r="BH171" s="224"/>
      <c r="BI171" s="224"/>
      <c r="BJ171" s="224"/>
      <c r="BK171" s="224"/>
      <c r="BL171" s="224"/>
      <c r="BM171" s="224"/>
      <c r="BN171" s="224"/>
      <c r="BO171" s="224"/>
      <c r="BP171" s="224"/>
      <c r="BQ171" s="224"/>
      <c r="BR171" s="224"/>
      <c r="BS171" s="224"/>
      <c r="BT171" s="224"/>
      <c r="BU171" s="224"/>
      <c r="BV171" s="224"/>
    </row>
    <row r="172" spans="2:76" x14ac:dyDescent="0.2">
      <c r="B172" s="210"/>
      <c r="C172" s="203"/>
      <c r="D172" s="203"/>
      <c r="E172" s="261"/>
      <c r="F172" s="224"/>
      <c r="G172" s="224"/>
      <c r="H172" s="224"/>
      <c r="I172" s="224"/>
      <c r="J172" s="224"/>
      <c r="K172" s="224"/>
      <c r="L172" s="224"/>
      <c r="M172" s="224"/>
      <c r="N172" s="224"/>
      <c r="O172" s="224"/>
      <c r="P172" s="224"/>
      <c r="Q172" s="224"/>
      <c r="R172" s="224"/>
      <c r="S172" s="224"/>
      <c r="T172" s="224"/>
      <c r="U172" s="224"/>
      <c r="V172" s="224"/>
      <c r="W172" s="224"/>
      <c r="X172" s="224"/>
      <c r="Y172" s="224"/>
      <c r="Z172" s="224"/>
      <c r="AA172" s="224"/>
      <c r="AB172" s="224"/>
      <c r="AC172" s="224"/>
      <c r="AD172" s="224"/>
      <c r="AE172" s="224"/>
      <c r="AF172" s="224"/>
      <c r="AG172" s="224"/>
      <c r="AH172" s="224"/>
      <c r="AI172" s="224"/>
      <c r="AJ172" s="224"/>
      <c r="AK172" s="224"/>
      <c r="AL172" s="224"/>
      <c r="AM172" s="224"/>
      <c r="AN172" s="224"/>
      <c r="AO172" s="224"/>
      <c r="AP172" s="224"/>
      <c r="AQ172" s="224"/>
      <c r="AR172" s="224"/>
      <c r="AS172" s="224"/>
      <c r="AT172" s="224"/>
      <c r="AU172" s="224"/>
      <c r="AV172" s="224"/>
      <c r="AW172" s="224"/>
      <c r="AX172" s="224"/>
      <c r="AY172" s="224"/>
      <c r="AZ172" s="224"/>
      <c r="BA172" s="224"/>
      <c r="BB172" s="224"/>
      <c r="BC172" s="224"/>
      <c r="BD172" s="224"/>
      <c r="BE172" s="224"/>
      <c r="BF172" s="224"/>
      <c r="BG172" s="224"/>
      <c r="BH172" s="224"/>
      <c r="BI172" s="224"/>
      <c r="BJ172" s="224"/>
      <c r="BK172" s="224"/>
      <c r="BL172" s="224"/>
      <c r="BM172" s="224"/>
      <c r="BN172" s="224"/>
      <c r="BO172" s="224"/>
      <c r="BP172" s="224"/>
      <c r="BQ172" s="224"/>
      <c r="BR172" s="224"/>
      <c r="BS172" s="224"/>
      <c r="BT172" s="224"/>
      <c r="BU172" s="224"/>
      <c r="BV172" s="224"/>
    </row>
    <row r="173" spans="2:76" x14ac:dyDescent="0.2">
      <c r="B173" s="210"/>
      <c r="C173" s="203"/>
      <c r="D173" s="203"/>
      <c r="E173" s="261"/>
      <c r="F173" s="224"/>
      <c r="G173" s="224"/>
      <c r="H173" s="224"/>
      <c r="I173" s="224"/>
      <c r="J173" s="224"/>
      <c r="K173" s="224"/>
      <c r="L173" s="224"/>
      <c r="M173" s="224"/>
      <c r="N173" s="224"/>
      <c r="O173" s="224"/>
      <c r="P173" s="224"/>
      <c r="Q173" s="224"/>
      <c r="R173" s="224"/>
      <c r="S173" s="224"/>
      <c r="T173" s="224"/>
      <c r="U173" s="224"/>
      <c r="V173" s="224"/>
      <c r="W173" s="224"/>
      <c r="X173" s="224"/>
      <c r="Y173" s="224"/>
      <c r="Z173" s="224"/>
      <c r="AA173" s="224"/>
      <c r="AB173" s="224"/>
      <c r="AC173" s="224"/>
      <c r="AD173" s="224"/>
      <c r="AE173" s="224"/>
      <c r="AF173" s="224"/>
      <c r="AG173" s="224"/>
      <c r="AH173" s="224"/>
      <c r="AI173" s="224"/>
      <c r="AJ173" s="224"/>
      <c r="AK173" s="224"/>
      <c r="AL173" s="224"/>
      <c r="AM173" s="224"/>
      <c r="AN173" s="224"/>
      <c r="AO173" s="224"/>
      <c r="AP173" s="224"/>
      <c r="AQ173" s="224"/>
      <c r="AR173" s="224"/>
      <c r="AS173" s="224"/>
      <c r="AT173" s="224"/>
      <c r="AU173" s="224"/>
      <c r="AV173" s="224"/>
      <c r="AW173" s="224"/>
      <c r="AX173" s="224"/>
      <c r="AY173" s="224"/>
      <c r="AZ173" s="224"/>
      <c r="BA173" s="224"/>
      <c r="BB173" s="224"/>
      <c r="BC173" s="224"/>
      <c r="BD173" s="224"/>
      <c r="BE173" s="224"/>
      <c r="BF173" s="224"/>
      <c r="BG173" s="224"/>
      <c r="BH173" s="224"/>
      <c r="BI173" s="224"/>
      <c r="BJ173" s="224"/>
      <c r="BK173" s="224"/>
      <c r="BL173" s="224"/>
      <c r="BM173" s="224"/>
      <c r="BN173" s="224"/>
      <c r="BO173" s="224"/>
      <c r="BP173" s="224"/>
      <c r="BQ173" s="224"/>
      <c r="BR173" s="224"/>
      <c r="BS173" s="224"/>
      <c r="BT173" s="224"/>
      <c r="BU173" s="224"/>
      <c r="BV173" s="224"/>
    </row>
    <row r="174" spans="2:76" x14ac:dyDescent="0.2">
      <c r="B174" s="210"/>
      <c r="C174" s="203"/>
      <c r="D174" s="203"/>
      <c r="E174" s="261"/>
      <c r="F174" s="224"/>
      <c r="G174" s="224"/>
      <c r="H174" s="224"/>
      <c r="I174" s="224"/>
      <c r="J174" s="224"/>
      <c r="K174" s="224"/>
      <c r="L174" s="224"/>
      <c r="M174" s="224"/>
      <c r="N174" s="224"/>
      <c r="O174" s="224"/>
      <c r="P174" s="224"/>
      <c r="Q174" s="224"/>
      <c r="R174" s="224"/>
      <c r="S174" s="224"/>
      <c r="T174" s="224"/>
      <c r="U174" s="224"/>
      <c r="V174" s="224"/>
      <c r="W174" s="224"/>
      <c r="X174" s="224"/>
      <c r="Y174" s="224"/>
      <c r="Z174" s="224"/>
      <c r="AA174" s="224"/>
      <c r="AB174" s="224"/>
      <c r="AC174" s="224"/>
      <c r="AD174" s="224"/>
      <c r="AE174" s="224"/>
      <c r="AF174" s="224"/>
      <c r="AG174" s="224"/>
      <c r="AH174" s="224"/>
      <c r="AI174" s="224"/>
      <c r="AJ174" s="224"/>
      <c r="AK174" s="224"/>
      <c r="AL174" s="224"/>
      <c r="AM174" s="224"/>
      <c r="AN174" s="224"/>
      <c r="AO174" s="224"/>
      <c r="AP174" s="224"/>
      <c r="AQ174" s="224"/>
      <c r="AR174" s="224"/>
      <c r="AS174" s="224"/>
      <c r="AT174" s="224"/>
      <c r="AU174" s="224"/>
      <c r="AV174" s="224"/>
      <c r="AW174" s="224"/>
      <c r="AX174" s="224"/>
      <c r="AY174" s="224"/>
      <c r="AZ174" s="224"/>
      <c r="BA174" s="224"/>
      <c r="BB174" s="224"/>
      <c r="BC174" s="224"/>
      <c r="BD174" s="224"/>
      <c r="BE174" s="224"/>
      <c r="BF174" s="224"/>
      <c r="BG174" s="224"/>
      <c r="BH174" s="224"/>
      <c r="BI174" s="224"/>
      <c r="BJ174" s="224"/>
      <c r="BK174" s="224"/>
      <c r="BL174" s="224"/>
      <c r="BM174" s="224"/>
      <c r="BN174" s="224"/>
      <c r="BO174" s="224"/>
      <c r="BP174" s="224"/>
      <c r="BQ174" s="224"/>
      <c r="BR174" s="224"/>
      <c r="BS174" s="224"/>
      <c r="BT174" s="224"/>
      <c r="BU174" s="224"/>
      <c r="BV174" s="224"/>
    </row>
    <row r="175" spans="2:76" x14ac:dyDescent="0.2">
      <c r="B175" s="210"/>
      <c r="C175" s="210"/>
      <c r="D175" s="210"/>
      <c r="E175" s="261"/>
      <c r="F175" s="224"/>
      <c r="G175" s="224"/>
      <c r="H175" s="224"/>
      <c r="I175" s="224"/>
      <c r="J175" s="224"/>
      <c r="K175" s="224"/>
      <c r="L175" s="224"/>
      <c r="M175" s="224"/>
      <c r="N175" s="224"/>
      <c r="O175" s="224"/>
      <c r="P175" s="224"/>
      <c r="Q175" s="224"/>
      <c r="R175" s="224"/>
      <c r="S175" s="224"/>
      <c r="T175" s="224"/>
      <c r="U175" s="224"/>
      <c r="V175" s="224"/>
      <c r="W175" s="224"/>
      <c r="X175" s="224"/>
      <c r="Y175" s="224"/>
      <c r="Z175" s="224"/>
      <c r="AA175" s="224"/>
      <c r="AB175" s="224"/>
      <c r="AC175" s="224"/>
      <c r="AD175" s="224"/>
      <c r="AE175" s="224"/>
      <c r="AF175" s="224"/>
      <c r="AG175" s="224"/>
      <c r="AH175" s="224"/>
      <c r="AI175" s="224"/>
      <c r="AJ175" s="224"/>
      <c r="AK175" s="224"/>
      <c r="AL175" s="224"/>
      <c r="AM175" s="224"/>
      <c r="AN175" s="224"/>
      <c r="AO175" s="224"/>
      <c r="AP175" s="224"/>
      <c r="AQ175" s="224"/>
      <c r="AR175" s="224"/>
      <c r="AS175" s="224"/>
      <c r="AT175" s="224"/>
      <c r="AU175" s="224"/>
      <c r="AV175" s="224"/>
      <c r="AW175" s="224"/>
      <c r="AX175" s="224"/>
      <c r="AY175" s="224"/>
      <c r="AZ175" s="224"/>
      <c r="BA175" s="224"/>
      <c r="BB175" s="224"/>
      <c r="BC175" s="224"/>
      <c r="BD175" s="224"/>
      <c r="BE175" s="224"/>
      <c r="BF175" s="224"/>
      <c r="BG175" s="224"/>
      <c r="BH175" s="224"/>
      <c r="BI175" s="224"/>
      <c r="BJ175" s="224"/>
      <c r="BK175" s="224"/>
      <c r="BL175" s="224"/>
      <c r="BM175" s="224"/>
      <c r="BN175" s="224"/>
      <c r="BO175" s="224"/>
      <c r="BP175" s="224"/>
      <c r="BQ175" s="224"/>
      <c r="BR175" s="224"/>
      <c r="BS175" s="224"/>
      <c r="BT175" s="224"/>
      <c r="BU175" s="224"/>
      <c r="BV175" s="224"/>
    </row>
    <row r="176" spans="2:76" x14ac:dyDescent="0.2">
      <c r="B176" s="210"/>
      <c r="C176" s="203"/>
      <c r="D176" s="203"/>
      <c r="E176" s="261"/>
      <c r="F176" s="224"/>
      <c r="G176" s="224"/>
      <c r="H176" s="224"/>
      <c r="I176" s="224"/>
      <c r="J176" s="224"/>
      <c r="K176" s="224"/>
      <c r="L176" s="224"/>
      <c r="M176" s="224"/>
      <c r="N176" s="224"/>
      <c r="O176" s="224"/>
      <c r="P176" s="224"/>
      <c r="Q176" s="224"/>
      <c r="R176" s="224"/>
      <c r="S176" s="224"/>
      <c r="T176" s="224"/>
      <c r="U176" s="224"/>
      <c r="V176" s="224"/>
      <c r="W176" s="224"/>
      <c r="X176" s="224"/>
      <c r="Y176" s="224"/>
      <c r="Z176" s="224"/>
      <c r="AA176" s="224"/>
      <c r="AB176" s="224"/>
      <c r="AC176" s="224"/>
      <c r="AD176" s="224"/>
      <c r="AE176" s="224"/>
      <c r="AF176" s="224"/>
      <c r="AG176" s="224"/>
      <c r="AH176" s="224"/>
      <c r="AI176" s="224"/>
      <c r="AJ176" s="224"/>
      <c r="AK176" s="224"/>
      <c r="AL176" s="224"/>
      <c r="AM176" s="224"/>
      <c r="AN176" s="224"/>
      <c r="AO176" s="224"/>
      <c r="AP176" s="224"/>
      <c r="AQ176" s="224"/>
      <c r="AR176" s="224"/>
      <c r="AS176" s="224"/>
      <c r="AT176" s="224"/>
      <c r="AU176" s="224"/>
      <c r="AV176" s="224"/>
      <c r="AW176" s="224"/>
      <c r="AX176" s="224"/>
      <c r="AY176" s="224"/>
      <c r="AZ176" s="224"/>
      <c r="BA176" s="224"/>
      <c r="BB176" s="224"/>
      <c r="BC176" s="224"/>
      <c r="BD176" s="224"/>
      <c r="BE176" s="224"/>
      <c r="BF176" s="224"/>
      <c r="BG176" s="224"/>
      <c r="BH176" s="224"/>
      <c r="BI176" s="224"/>
      <c r="BJ176" s="224"/>
      <c r="BK176" s="224"/>
      <c r="BL176" s="224"/>
      <c r="BM176" s="224"/>
      <c r="BN176" s="224"/>
      <c r="BO176" s="224"/>
      <c r="BP176" s="224"/>
      <c r="BQ176" s="224"/>
      <c r="BR176" s="224"/>
      <c r="BS176" s="224"/>
      <c r="BT176" s="224"/>
      <c r="BU176" s="224"/>
      <c r="BV176" s="224"/>
    </row>
    <row r="177" spans="2:74" x14ac:dyDescent="0.2">
      <c r="C177" s="203"/>
      <c r="D177" s="203"/>
      <c r="E177" s="261"/>
      <c r="F177" s="224"/>
      <c r="G177" s="224"/>
      <c r="H177" s="224"/>
      <c r="I177" s="224"/>
      <c r="J177" s="224"/>
      <c r="K177" s="224"/>
      <c r="L177" s="224"/>
      <c r="M177" s="224"/>
      <c r="N177" s="224"/>
      <c r="O177" s="224"/>
      <c r="P177" s="224"/>
      <c r="Q177" s="224"/>
      <c r="R177" s="224"/>
      <c r="S177" s="224"/>
      <c r="T177" s="224"/>
      <c r="U177" s="224"/>
      <c r="V177" s="224"/>
      <c r="W177" s="224"/>
      <c r="X177" s="224"/>
      <c r="Y177" s="224"/>
      <c r="Z177" s="224"/>
      <c r="AA177" s="224"/>
      <c r="AB177" s="224"/>
      <c r="AC177" s="224"/>
      <c r="AD177" s="224"/>
      <c r="AE177" s="224"/>
      <c r="AF177" s="224"/>
      <c r="AG177" s="224"/>
      <c r="AH177" s="224"/>
      <c r="AI177" s="224"/>
      <c r="AJ177" s="224"/>
      <c r="AK177" s="224"/>
      <c r="AL177" s="224"/>
      <c r="AM177" s="224"/>
      <c r="AN177" s="224"/>
      <c r="AO177" s="224"/>
      <c r="AP177" s="224"/>
      <c r="AQ177" s="224"/>
      <c r="AR177" s="224"/>
      <c r="AS177" s="224"/>
      <c r="AT177" s="224"/>
      <c r="AU177" s="224"/>
      <c r="AV177" s="224"/>
      <c r="AW177" s="224"/>
      <c r="AX177" s="224"/>
      <c r="AY177" s="224"/>
      <c r="AZ177" s="224"/>
      <c r="BA177" s="224"/>
      <c r="BB177" s="224"/>
      <c r="BC177" s="224"/>
      <c r="BD177" s="224"/>
      <c r="BE177" s="224"/>
      <c r="BF177" s="224"/>
      <c r="BG177" s="224"/>
      <c r="BH177" s="224"/>
      <c r="BI177" s="224"/>
      <c r="BJ177" s="224"/>
      <c r="BK177" s="224"/>
      <c r="BL177" s="224"/>
      <c r="BM177" s="224"/>
      <c r="BN177" s="224"/>
      <c r="BO177" s="224"/>
      <c r="BP177" s="224"/>
      <c r="BQ177" s="224"/>
      <c r="BR177" s="224"/>
      <c r="BS177" s="224"/>
      <c r="BT177" s="224"/>
      <c r="BU177" s="224"/>
      <c r="BV177" s="224"/>
    </row>
    <row r="178" spans="2:74" x14ac:dyDescent="0.2">
      <c r="B178" s="210"/>
      <c r="C178" s="203"/>
      <c r="D178" s="203"/>
      <c r="E178" s="261"/>
      <c r="F178" s="224"/>
      <c r="G178" s="224"/>
      <c r="H178" s="224"/>
      <c r="I178" s="224"/>
      <c r="J178" s="224"/>
      <c r="K178" s="224"/>
      <c r="L178" s="224"/>
      <c r="M178" s="224"/>
      <c r="N178" s="224"/>
      <c r="O178" s="224"/>
      <c r="P178" s="224"/>
      <c r="Q178" s="224"/>
      <c r="R178" s="224"/>
      <c r="S178" s="224"/>
      <c r="T178" s="224"/>
      <c r="U178" s="224"/>
      <c r="V178" s="224"/>
      <c r="W178" s="224"/>
      <c r="X178" s="224"/>
      <c r="Y178" s="224"/>
      <c r="Z178" s="224"/>
      <c r="AA178" s="224"/>
      <c r="AB178" s="224"/>
      <c r="AC178" s="224"/>
      <c r="AD178" s="224"/>
      <c r="AE178" s="224"/>
      <c r="AF178" s="224"/>
      <c r="AG178" s="224"/>
      <c r="AH178" s="224"/>
      <c r="AI178" s="224"/>
      <c r="AJ178" s="224"/>
      <c r="AK178" s="224"/>
      <c r="AL178" s="224"/>
      <c r="AM178" s="224"/>
      <c r="AN178" s="224"/>
      <c r="AO178" s="224"/>
      <c r="AP178" s="224"/>
      <c r="AQ178" s="224"/>
      <c r="AR178" s="224"/>
      <c r="AS178" s="224"/>
      <c r="AT178" s="224"/>
      <c r="AU178" s="224"/>
      <c r="AV178" s="224"/>
      <c r="AW178" s="224"/>
      <c r="AX178" s="224"/>
      <c r="AY178" s="224"/>
      <c r="AZ178" s="224"/>
      <c r="BA178" s="224"/>
      <c r="BB178" s="224"/>
      <c r="BC178" s="224"/>
      <c r="BD178" s="224"/>
      <c r="BE178" s="224"/>
      <c r="BF178" s="224"/>
      <c r="BG178" s="224"/>
      <c r="BH178" s="224"/>
      <c r="BI178" s="224"/>
      <c r="BJ178" s="224"/>
      <c r="BK178" s="224"/>
      <c r="BL178" s="224"/>
      <c r="BM178" s="224"/>
      <c r="BN178" s="224"/>
      <c r="BO178" s="224"/>
      <c r="BP178" s="224"/>
      <c r="BQ178" s="224"/>
      <c r="BR178" s="224"/>
      <c r="BS178" s="224"/>
      <c r="BT178" s="224"/>
      <c r="BU178" s="224"/>
      <c r="BV178" s="224"/>
    </row>
    <row r="179" spans="2:74" x14ac:dyDescent="0.2">
      <c r="B179" s="210"/>
      <c r="C179" s="203"/>
      <c r="D179" s="203"/>
      <c r="E179" s="261"/>
      <c r="F179" s="224"/>
      <c r="G179" s="224"/>
      <c r="H179" s="224"/>
      <c r="I179" s="224"/>
      <c r="J179" s="224"/>
      <c r="K179" s="224"/>
      <c r="L179" s="224"/>
      <c r="M179" s="224"/>
      <c r="N179" s="224"/>
      <c r="O179" s="224"/>
      <c r="P179" s="224"/>
      <c r="Q179" s="224"/>
      <c r="R179" s="224"/>
      <c r="S179" s="224"/>
      <c r="T179" s="224"/>
      <c r="U179" s="224"/>
      <c r="V179" s="224"/>
      <c r="W179" s="224"/>
      <c r="X179" s="224"/>
      <c r="Y179" s="224"/>
      <c r="Z179" s="224"/>
      <c r="AA179" s="224"/>
      <c r="AB179" s="224"/>
      <c r="AC179" s="224"/>
      <c r="AD179" s="224"/>
      <c r="AE179" s="224"/>
      <c r="AF179" s="224"/>
      <c r="AG179" s="224"/>
      <c r="AH179" s="224"/>
      <c r="AI179" s="224"/>
      <c r="AJ179" s="224"/>
      <c r="AK179" s="224"/>
      <c r="AL179" s="224"/>
      <c r="AM179" s="224"/>
      <c r="AN179" s="224"/>
      <c r="AO179" s="224"/>
      <c r="AP179" s="224"/>
      <c r="AQ179" s="224"/>
      <c r="AR179" s="224"/>
      <c r="AS179" s="224"/>
      <c r="AT179" s="224"/>
      <c r="AU179" s="224"/>
      <c r="AV179" s="224"/>
      <c r="AW179" s="224"/>
      <c r="AX179" s="224"/>
      <c r="AY179" s="224"/>
      <c r="AZ179" s="224"/>
      <c r="BA179" s="224"/>
      <c r="BB179" s="224"/>
      <c r="BC179" s="224"/>
      <c r="BD179" s="224"/>
      <c r="BE179" s="224"/>
      <c r="BF179" s="224"/>
      <c r="BG179" s="224"/>
      <c r="BH179" s="224"/>
      <c r="BI179" s="224"/>
      <c r="BJ179" s="224"/>
      <c r="BK179" s="224"/>
      <c r="BL179" s="224"/>
      <c r="BM179" s="224"/>
      <c r="BN179" s="224"/>
      <c r="BO179" s="224"/>
      <c r="BP179" s="224"/>
      <c r="BQ179" s="224"/>
      <c r="BR179" s="224"/>
      <c r="BS179" s="224"/>
      <c r="BT179" s="224"/>
      <c r="BU179" s="224"/>
      <c r="BV179" s="224"/>
    </row>
    <row r="180" spans="2:74" x14ac:dyDescent="0.2">
      <c r="B180" s="210"/>
      <c r="C180" s="203"/>
      <c r="D180" s="203"/>
      <c r="E180" s="261"/>
      <c r="F180" s="224"/>
      <c r="G180" s="224"/>
      <c r="H180" s="224"/>
      <c r="I180" s="224"/>
      <c r="J180" s="224"/>
      <c r="K180" s="224"/>
      <c r="L180" s="224"/>
      <c r="M180" s="224"/>
      <c r="N180" s="224"/>
      <c r="O180" s="224"/>
      <c r="P180" s="224"/>
      <c r="Q180" s="224"/>
      <c r="R180" s="224"/>
      <c r="S180" s="224"/>
      <c r="T180" s="224"/>
      <c r="U180" s="224"/>
      <c r="V180" s="224"/>
      <c r="W180" s="224"/>
      <c r="X180" s="224"/>
      <c r="Y180" s="224"/>
      <c r="Z180" s="224"/>
      <c r="AA180" s="224"/>
      <c r="AB180" s="224"/>
      <c r="AC180" s="224"/>
      <c r="AD180" s="224"/>
      <c r="AE180" s="224"/>
      <c r="AF180" s="224"/>
      <c r="AG180" s="224"/>
      <c r="AH180" s="224"/>
      <c r="AI180" s="224"/>
      <c r="AJ180" s="224"/>
      <c r="AK180" s="224"/>
      <c r="AL180" s="224"/>
      <c r="AM180" s="224"/>
      <c r="AN180" s="224"/>
      <c r="AO180" s="224"/>
      <c r="AP180" s="224"/>
      <c r="AQ180" s="224"/>
      <c r="AR180" s="224"/>
      <c r="AS180" s="224"/>
      <c r="AT180" s="224"/>
      <c r="AU180" s="224"/>
      <c r="AV180" s="224"/>
      <c r="AW180" s="224"/>
      <c r="AX180" s="224"/>
      <c r="AY180" s="224"/>
      <c r="AZ180" s="224"/>
      <c r="BA180" s="224"/>
      <c r="BB180" s="224"/>
      <c r="BC180" s="224"/>
      <c r="BD180" s="224"/>
      <c r="BE180" s="224"/>
      <c r="BF180" s="224"/>
      <c r="BG180" s="224"/>
      <c r="BH180" s="224"/>
      <c r="BI180" s="224"/>
      <c r="BJ180" s="224"/>
      <c r="BK180" s="224"/>
      <c r="BL180" s="224"/>
      <c r="BM180" s="224"/>
      <c r="BN180" s="224"/>
      <c r="BO180" s="224"/>
      <c r="BP180" s="224"/>
      <c r="BQ180" s="224"/>
      <c r="BR180" s="224"/>
      <c r="BS180" s="224"/>
      <c r="BT180" s="224"/>
      <c r="BU180" s="224"/>
      <c r="BV180" s="224"/>
    </row>
    <row r="181" spans="2:74" x14ac:dyDescent="0.2">
      <c r="B181" s="210"/>
      <c r="C181" s="203"/>
      <c r="D181" s="203"/>
      <c r="E181" s="261"/>
      <c r="F181" s="224"/>
      <c r="G181" s="224"/>
      <c r="H181" s="224"/>
      <c r="I181" s="224"/>
      <c r="J181" s="224"/>
      <c r="K181" s="224"/>
      <c r="L181" s="224"/>
      <c r="M181" s="224"/>
      <c r="N181" s="224"/>
      <c r="O181" s="224"/>
      <c r="P181" s="224"/>
      <c r="Q181" s="224"/>
      <c r="R181" s="224"/>
      <c r="S181" s="224"/>
      <c r="T181" s="224"/>
      <c r="U181" s="224"/>
      <c r="V181" s="224"/>
      <c r="W181" s="224"/>
      <c r="X181" s="224"/>
      <c r="Y181" s="224"/>
      <c r="Z181" s="224"/>
      <c r="AA181" s="224"/>
      <c r="AB181" s="224"/>
      <c r="AC181" s="224"/>
      <c r="AD181" s="224"/>
      <c r="AE181" s="224"/>
      <c r="AF181" s="224"/>
      <c r="AG181" s="224"/>
      <c r="AH181" s="224"/>
      <c r="AI181" s="224"/>
      <c r="AJ181" s="224"/>
      <c r="AK181" s="224"/>
      <c r="AL181" s="224"/>
      <c r="AM181" s="224"/>
      <c r="AN181" s="224"/>
      <c r="AO181" s="224"/>
      <c r="AP181" s="224"/>
      <c r="AQ181" s="224"/>
      <c r="AR181" s="224"/>
      <c r="AS181" s="224"/>
      <c r="AT181" s="224"/>
      <c r="AU181" s="224"/>
      <c r="AV181" s="224"/>
      <c r="AW181" s="224"/>
      <c r="AX181" s="224"/>
      <c r="AY181" s="224"/>
      <c r="AZ181" s="224"/>
      <c r="BA181" s="224"/>
      <c r="BB181" s="224"/>
      <c r="BC181" s="224"/>
      <c r="BD181" s="224"/>
      <c r="BE181" s="224"/>
      <c r="BF181" s="224"/>
      <c r="BG181" s="224"/>
      <c r="BH181" s="224"/>
      <c r="BI181" s="224"/>
      <c r="BJ181" s="224"/>
      <c r="BK181" s="224"/>
      <c r="BL181" s="224"/>
      <c r="BM181" s="224"/>
      <c r="BN181" s="224"/>
      <c r="BO181" s="224"/>
      <c r="BP181" s="224"/>
      <c r="BQ181" s="224"/>
      <c r="BR181" s="224"/>
      <c r="BS181" s="224"/>
      <c r="BT181" s="224"/>
      <c r="BU181" s="224"/>
      <c r="BV181" s="224"/>
    </row>
    <row r="182" spans="2:74" x14ac:dyDescent="0.2">
      <c r="B182" s="210"/>
      <c r="C182" s="203"/>
      <c r="D182" s="203"/>
      <c r="E182" s="261"/>
      <c r="F182" s="224"/>
      <c r="G182" s="224"/>
      <c r="H182" s="224"/>
      <c r="I182" s="224"/>
      <c r="J182" s="224"/>
      <c r="K182" s="224"/>
      <c r="L182" s="224"/>
      <c r="M182" s="224"/>
      <c r="N182" s="224"/>
      <c r="O182" s="224"/>
      <c r="P182" s="224"/>
      <c r="Q182" s="224"/>
      <c r="R182" s="224"/>
      <c r="S182" s="224"/>
      <c r="T182" s="224"/>
      <c r="U182" s="224"/>
      <c r="V182" s="224"/>
      <c r="W182" s="224"/>
      <c r="X182" s="224"/>
      <c r="Y182" s="224"/>
      <c r="Z182" s="224"/>
      <c r="AA182" s="224"/>
      <c r="AB182" s="224"/>
      <c r="AC182" s="224"/>
      <c r="AD182" s="224"/>
      <c r="AE182" s="224"/>
      <c r="AF182" s="224"/>
      <c r="AG182" s="224"/>
      <c r="AH182" s="224"/>
      <c r="AI182" s="224"/>
      <c r="AJ182" s="224"/>
      <c r="AK182" s="224"/>
      <c r="AL182" s="224"/>
      <c r="AM182" s="224"/>
      <c r="AN182" s="224"/>
      <c r="AO182" s="224"/>
      <c r="AP182" s="224"/>
      <c r="AQ182" s="224"/>
      <c r="AR182" s="224"/>
      <c r="AS182" s="224"/>
      <c r="AT182" s="224"/>
      <c r="AU182" s="224"/>
      <c r="AV182" s="224"/>
      <c r="AW182" s="224"/>
      <c r="AX182" s="224"/>
      <c r="AY182" s="224"/>
      <c r="AZ182" s="224"/>
      <c r="BA182" s="224"/>
      <c r="BB182" s="224"/>
      <c r="BC182" s="224"/>
      <c r="BD182" s="224"/>
      <c r="BE182" s="224"/>
      <c r="BF182" s="224"/>
      <c r="BG182" s="224"/>
      <c r="BH182" s="224"/>
      <c r="BI182" s="224"/>
      <c r="BJ182" s="224"/>
      <c r="BK182" s="224"/>
      <c r="BL182" s="224"/>
      <c r="BM182" s="224"/>
      <c r="BN182" s="224"/>
      <c r="BO182" s="224"/>
      <c r="BP182" s="224"/>
      <c r="BQ182" s="224"/>
      <c r="BR182" s="224"/>
      <c r="BS182" s="224"/>
      <c r="BT182" s="224"/>
      <c r="BU182" s="224"/>
      <c r="BV182" s="224"/>
    </row>
    <row r="183" spans="2:74" x14ac:dyDescent="0.2">
      <c r="B183" s="210"/>
      <c r="C183" s="203"/>
      <c r="D183" s="203"/>
      <c r="E183" s="261"/>
      <c r="F183" s="224"/>
      <c r="G183" s="224"/>
      <c r="H183" s="224"/>
      <c r="I183" s="224"/>
      <c r="J183" s="224"/>
      <c r="K183" s="224"/>
      <c r="L183" s="224"/>
      <c r="M183" s="224"/>
      <c r="N183" s="224"/>
      <c r="O183" s="224"/>
      <c r="P183" s="224"/>
      <c r="Q183" s="224"/>
      <c r="R183" s="224"/>
      <c r="S183" s="224"/>
      <c r="T183" s="224"/>
      <c r="U183" s="224"/>
      <c r="V183" s="224"/>
      <c r="W183" s="224"/>
      <c r="X183" s="224"/>
      <c r="Y183" s="224"/>
      <c r="Z183" s="224"/>
      <c r="AA183" s="224"/>
      <c r="AB183" s="224"/>
      <c r="AC183" s="224"/>
      <c r="AD183" s="224"/>
      <c r="AE183" s="224"/>
      <c r="AF183" s="224"/>
      <c r="AG183" s="224"/>
      <c r="AH183" s="224"/>
      <c r="AI183" s="224"/>
      <c r="AJ183" s="224"/>
      <c r="AK183" s="224"/>
      <c r="AL183" s="224"/>
      <c r="AM183" s="224"/>
      <c r="AN183" s="224"/>
      <c r="AO183" s="224"/>
      <c r="AP183" s="224"/>
      <c r="AQ183" s="224"/>
      <c r="AR183" s="224"/>
      <c r="AS183" s="224"/>
      <c r="AT183" s="224"/>
      <c r="AU183" s="224"/>
      <c r="AV183" s="224"/>
      <c r="AW183" s="224"/>
      <c r="AX183" s="224"/>
      <c r="AY183" s="224"/>
      <c r="AZ183" s="224"/>
      <c r="BA183" s="224"/>
      <c r="BB183" s="224"/>
      <c r="BC183" s="224"/>
      <c r="BD183" s="224"/>
      <c r="BE183" s="224"/>
      <c r="BF183" s="224"/>
      <c r="BG183" s="224"/>
      <c r="BH183" s="224"/>
      <c r="BI183" s="224"/>
      <c r="BJ183" s="224"/>
      <c r="BK183" s="224"/>
      <c r="BL183" s="224"/>
      <c r="BM183" s="224"/>
      <c r="BN183" s="224"/>
      <c r="BO183" s="224"/>
      <c r="BP183" s="224"/>
      <c r="BQ183" s="224"/>
      <c r="BR183" s="224"/>
      <c r="BS183" s="224"/>
      <c r="BT183" s="224"/>
      <c r="BU183" s="224"/>
      <c r="BV183" s="224"/>
    </row>
    <row r="184" spans="2:74" x14ac:dyDescent="0.2">
      <c r="B184" s="210"/>
      <c r="C184" s="203"/>
      <c r="D184" s="203"/>
      <c r="E184" s="261"/>
      <c r="F184" s="224"/>
      <c r="G184" s="224"/>
      <c r="H184" s="224"/>
      <c r="I184" s="224"/>
      <c r="J184" s="224"/>
      <c r="K184" s="224"/>
      <c r="L184" s="224"/>
      <c r="M184" s="224"/>
      <c r="N184" s="224"/>
      <c r="O184" s="224"/>
      <c r="P184" s="224"/>
      <c r="Q184" s="224"/>
      <c r="R184" s="224"/>
      <c r="S184" s="224"/>
      <c r="T184" s="224"/>
      <c r="U184" s="224"/>
      <c r="V184" s="224"/>
      <c r="W184" s="224"/>
      <c r="X184" s="224"/>
      <c r="Y184" s="224"/>
      <c r="Z184" s="224"/>
      <c r="AA184" s="224"/>
      <c r="AB184" s="224"/>
      <c r="AC184" s="224"/>
      <c r="AD184" s="224"/>
      <c r="AE184" s="224"/>
      <c r="AF184" s="224"/>
      <c r="AG184" s="224"/>
      <c r="AH184" s="224"/>
      <c r="AI184" s="224"/>
      <c r="AJ184" s="224"/>
      <c r="AK184" s="224"/>
      <c r="AL184" s="224"/>
      <c r="AM184" s="224"/>
      <c r="AN184" s="224"/>
      <c r="AO184" s="224"/>
      <c r="AP184" s="224"/>
      <c r="AQ184" s="224"/>
      <c r="AR184" s="224"/>
      <c r="AS184" s="224"/>
      <c r="AT184" s="224"/>
      <c r="AU184" s="224"/>
      <c r="AV184" s="224"/>
      <c r="AW184" s="224"/>
      <c r="AX184" s="224"/>
      <c r="AY184" s="224"/>
      <c r="AZ184" s="224"/>
      <c r="BA184" s="224"/>
      <c r="BB184" s="224"/>
      <c r="BC184" s="224"/>
      <c r="BD184" s="224"/>
      <c r="BE184" s="224"/>
      <c r="BF184" s="224"/>
      <c r="BG184" s="224"/>
      <c r="BH184" s="224"/>
      <c r="BI184" s="224"/>
      <c r="BJ184" s="224"/>
      <c r="BK184" s="224"/>
      <c r="BL184" s="224"/>
      <c r="BM184" s="224"/>
      <c r="BN184" s="224"/>
      <c r="BO184" s="224"/>
      <c r="BP184" s="224"/>
      <c r="BQ184" s="224"/>
      <c r="BR184" s="224"/>
      <c r="BS184" s="224"/>
      <c r="BT184" s="224"/>
      <c r="BU184" s="224"/>
      <c r="BV184" s="224"/>
    </row>
    <row r="185" spans="2:74" x14ac:dyDescent="0.2">
      <c r="B185" s="210"/>
      <c r="C185" s="203"/>
      <c r="D185" s="203"/>
      <c r="E185" s="261"/>
      <c r="F185" s="224"/>
      <c r="G185" s="224"/>
      <c r="H185" s="224"/>
      <c r="I185" s="224"/>
      <c r="J185" s="224"/>
      <c r="K185" s="224"/>
      <c r="L185" s="224"/>
      <c r="M185" s="224"/>
      <c r="N185" s="224"/>
      <c r="O185" s="224"/>
      <c r="P185" s="224"/>
      <c r="Q185" s="224"/>
      <c r="R185" s="224"/>
      <c r="S185" s="224"/>
      <c r="T185" s="224"/>
      <c r="U185" s="224"/>
      <c r="V185" s="224"/>
      <c r="W185" s="224"/>
      <c r="X185" s="224"/>
      <c r="Y185" s="224"/>
      <c r="Z185" s="224"/>
      <c r="AA185" s="224"/>
      <c r="AB185" s="224"/>
      <c r="AC185" s="224"/>
      <c r="AD185" s="224"/>
      <c r="AE185" s="224"/>
      <c r="AF185" s="224"/>
      <c r="AG185" s="224"/>
      <c r="AH185" s="224"/>
      <c r="AI185" s="224"/>
      <c r="AJ185" s="224"/>
      <c r="AK185" s="224"/>
      <c r="AL185" s="224"/>
      <c r="AM185" s="224"/>
      <c r="AN185" s="224"/>
      <c r="AO185" s="224"/>
      <c r="AP185" s="224"/>
      <c r="AQ185" s="224"/>
      <c r="AR185" s="224"/>
      <c r="AS185" s="224"/>
      <c r="AT185" s="224"/>
      <c r="AU185" s="224"/>
      <c r="AV185" s="224"/>
      <c r="AW185" s="224"/>
      <c r="AX185" s="224"/>
      <c r="AY185" s="224"/>
      <c r="AZ185" s="224"/>
      <c r="BA185" s="224"/>
      <c r="BB185" s="224"/>
      <c r="BC185" s="224"/>
      <c r="BD185" s="224"/>
      <c r="BE185" s="224"/>
      <c r="BF185" s="224"/>
      <c r="BG185" s="224"/>
      <c r="BH185" s="224"/>
      <c r="BI185" s="224"/>
      <c r="BJ185" s="224"/>
      <c r="BK185" s="224"/>
      <c r="BL185" s="224"/>
      <c r="BM185" s="224"/>
      <c r="BN185" s="224"/>
      <c r="BO185" s="224"/>
      <c r="BP185" s="224"/>
      <c r="BQ185" s="224"/>
      <c r="BR185" s="224"/>
      <c r="BS185" s="224"/>
      <c r="BT185" s="224"/>
      <c r="BU185" s="224"/>
      <c r="BV185" s="224"/>
    </row>
    <row r="186" spans="2:74" x14ac:dyDescent="0.2">
      <c r="B186" s="210"/>
      <c r="C186" s="203"/>
      <c r="D186" s="203"/>
      <c r="E186" s="261"/>
      <c r="F186" s="224"/>
      <c r="G186" s="224"/>
      <c r="H186" s="224"/>
      <c r="I186" s="224"/>
      <c r="J186" s="224"/>
      <c r="K186" s="224"/>
      <c r="L186" s="224"/>
      <c r="M186" s="224"/>
      <c r="N186" s="224"/>
      <c r="O186" s="224"/>
      <c r="P186" s="224"/>
      <c r="Q186" s="224"/>
      <c r="R186" s="224"/>
      <c r="S186" s="224"/>
      <c r="T186" s="224"/>
      <c r="U186" s="224"/>
      <c r="V186" s="224"/>
      <c r="W186" s="224"/>
      <c r="X186" s="224"/>
      <c r="Y186" s="224"/>
      <c r="Z186" s="224"/>
      <c r="AA186" s="224"/>
      <c r="AB186" s="224"/>
      <c r="AC186" s="224"/>
      <c r="AD186" s="224"/>
      <c r="AE186" s="224"/>
      <c r="AF186" s="224"/>
      <c r="AG186" s="224"/>
      <c r="AH186" s="224"/>
      <c r="AI186" s="224"/>
      <c r="AJ186" s="224"/>
      <c r="AK186" s="224"/>
      <c r="AL186" s="224"/>
      <c r="AM186" s="224"/>
      <c r="AN186" s="224"/>
      <c r="AO186" s="224"/>
      <c r="AP186" s="224"/>
      <c r="AQ186" s="224"/>
      <c r="AR186" s="224"/>
      <c r="AS186" s="224"/>
      <c r="AT186" s="224"/>
      <c r="AU186" s="224"/>
      <c r="AV186" s="224"/>
      <c r="AW186" s="224"/>
      <c r="AX186" s="224"/>
      <c r="AY186" s="224"/>
      <c r="AZ186" s="224"/>
      <c r="BA186" s="224"/>
      <c r="BB186" s="224"/>
      <c r="BC186" s="224"/>
      <c r="BD186" s="224"/>
      <c r="BE186" s="224"/>
      <c r="BF186" s="224"/>
      <c r="BG186" s="224"/>
      <c r="BH186" s="224"/>
      <c r="BI186" s="224"/>
      <c r="BJ186" s="224"/>
      <c r="BK186" s="224"/>
      <c r="BL186" s="224"/>
      <c r="BM186" s="224"/>
      <c r="BN186" s="224"/>
      <c r="BO186" s="224"/>
      <c r="BP186" s="224"/>
      <c r="BQ186" s="224"/>
      <c r="BR186" s="224"/>
      <c r="BS186" s="224"/>
      <c r="BT186" s="224"/>
      <c r="BU186" s="224"/>
      <c r="BV186" s="224"/>
    </row>
    <row r="187" spans="2:74" x14ac:dyDescent="0.2">
      <c r="B187" s="210"/>
      <c r="C187" s="210"/>
      <c r="D187" s="210"/>
      <c r="E187" s="261"/>
      <c r="F187" s="224"/>
      <c r="G187" s="224"/>
      <c r="H187" s="224"/>
      <c r="I187" s="224"/>
      <c r="J187" s="224"/>
      <c r="K187" s="224"/>
      <c r="L187" s="224"/>
      <c r="M187" s="224"/>
      <c r="N187" s="224"/>
      <c r="O187" s="224"/>
      <c r="P187" s="224"/>
      <c r="Q187" s="224"/>
      <c r="R187" s="224"/>
      <c r="S187" s="224"/>
      <c r="T187" s="224"/>
      <c r="U187" s="224"/>
      <c r="V187" s="224"/>
      <c r="W187" s="224"/>
      <c r="X187" s="224"/>
      <c r="Y187" s="224"/>
      <c r="Z187" s="224"/>
      <c r="AA187" s="224"/>
      <c r="AB187" s="224"/>
      <c r="AC187" s="224"/>
      <c r="AD187" s="224"/>
      <c r="AE187" s="224"/>
      <c r="AF187" s="224"/>
      <c r="AG187" s="224"/>
      <c r="AH187" s="224"/>
      <c r="AI187" s="224"/>
      <c r="AJ187" s="224"/>
      <c r="AK187" s="224"/>
      <c r="AL187" s="224"/>
      <c r="AM187" s="224"/>
      <c r="AN187" s="224"/>
      <c r="AO187" s="224"/>
      <c r="AP187" s="224"/>
      <c r="AQ187" s="224"/>
      <c r="AR187" s="224"/>
      <c r="AS187" s="224"/>
      <c r="AT187" s="224"/>
      <c r="AU187" s="224"/>
      <c r="AV187" s="224"/>
      <c r="AW187" s="224"/>
      <c r="AX187" s="224"/>
      <c r="AY187" s="224"/>
      <c r="AZ187" s="224"/>
      <c r="BA187" s="224"/>
      <c r="BB187" s="224"/>
      <c r="BC187" s="224"/>
      <c r="BD187" s="224"/>
      <c r="BE187" s="224"/>
      <c r="BF187" s="224"/>
      <c r="BG187" s="224"/>
      <c r="BH187" s="224"/>
      <c r="BI187" s="224"/>
      <c r="BJ187" s="224"/>
      <c r="BK187" s="224"/>
      <c r="BL187" s="224"/>
      <c r="BM187" s="224"/>
      <c r="BN187" s="224"/>
      <c r="BO187" s="224"/>
      <c r="BP187" s="224"/>
      <c r="BQ187" s="224"/>
      <c r="BR187" s="224"/>
      <c r="BS187" s="224"/>
      <c r="BT187" s="224"/>
      <c r="BU187" s="224"/>
      <c r="BV187" s="224"/>
    </row>
    <row r="188" spans="2:74" x14ac:dyDescent="0.2">
      <c r="B188" s="210"/>
      <c r="C188" s="203"/>
      <c r="D188" s="203"/>
      <c r="E188" s="261"/>
      <c r="F188" s="224"/>
      <c r="G188" s="224"/>
      <c r="H188" s="224"/>
      <c r="I188" s="224"/>
      <c r="J188" s="224"/>
      <c r="K188" s="224"/>
      <c r="L188" s="224"/>
      <c r="M188" s="224"/>
      <c r="N188" s="224"/>
      <c r="O188" s="224"/>
      <c r="P188" s="224"/>
      <c r="Q188" s="224"/>
      <c r="R188" s="224"/>
      <c r="S188" s="224"/>
      <c r="T188" s="224"/>
      <c r="U188" s="224"/>
      <c r="V188" s="224"/>
      <c r="W188" s="224"/>
      <c r="X188" s="224"/>
      <c r="Y188" s="224"/>
      <c r="Z188" s="224"/>
      <c r="AA188" s="224"/>
      <c r="AB188" s="224"/>
      <c r="AC188" s="224"/>
      <c r="AD188" s="224"/>
      <c r="AE188" s="224"/>
      <c r="AF188" s="224"/>
      <c r="AG188" s="224"/>
      <c r="AH188" s="224"/>
      <c r="AI188" s="224"/>
      <c r="AJ188" s="224"/>
      <c r="AK188" s="224"/>
      <c r="AL188" s="224"/>
      <c r="AM188" s="224"/>
      <c r="AN188" s="224"/>
      <c r="AO188" s="224"/>
      <c r="AP188" s="224"/>
      <c r="AQ188" s="224"/>
      <c r="AR188" s="224"/>
      <c r="AS188" s="224"/>
      <c r="AT188" s="224"/>
      <c r="AU188" s="224"/>
      <c r="AV188" s="224"/>
      <c r="AW188" s="224"/>
      <c r="AX188" s="224"/>
      <c r="AY188" s="224"/>
      <c r="AZ188" s="224"/>
      <c r="BA188" s="224"/>
      <c r="BB188" s="224"/>
      <c r="BC188" s="224"/>
      <c r="BD188" s="224"/>
      <c r="BE188" s="224"/>
      <c r="BF188" s="224"/>
      <c r="BG188" s="224"/>
      <c r="BH188" s="224"/>
      <c r="BI188" s="224"/>
      <c r="BJ188" s="224"/>
      <c r="BK188" s="224"/>
      <c r="BL188" s="224"/>
      <c r="BM188" s="224"/>
      <c r="BN188" s="224"/>
      <c r="BO188" s="224"/>
      <c r="BP188" s="224"/>
      <c r="BQ188" s="224"/>
      <c r="BR188" s="224"/>
      <c r="BS188" s="224"/>
      <c r="BT188" s="224"/>
      <c r="BU188" s="224"/>
      <c r="BV188" s="224"/>
    </row>
    <row r="189" spans="2:74" x14ac:dyDescent="0.2">
      <c r="B189" s="210"/>
      <c r="C189" s="203"/>
      <c r="D189" s="203"/>
      <c r="E189" s="261"/>
      <c r="F189" s="224"/>
      <c r="G189" s="224"/>
      <c r="H189" s="224"/>
      <c r="I189" s="224"/>
      <c r="J189" s="224"/>
      <c r="K189" s="224"/>
      <c r="L189" s="224"/>
      <c r="M189" s="224"/>
      <c r="N189" s="224"/>
      <c r="O189" s="224"/>
      <c r="P189" s="224"/>
      <c r="Q189" s="224"/>
      <c r="R189" s="224"/>
      <c r="S189" s="224"/>
      <c r="T189" s="224"/>
      <c r="U189" s="224"/>
      <c r="V189" s="224"/>
      <c r="W189" s="224"/>
      <c r="X189" s="224"/>
      <c r="Y189" s="224"/>
      <c r="Z189" s="224"/>
      <c r="AA189" s="224"/>
      <c r="AB189" s="224"/>
      <c r="AC189" s="224"/>
      <c r="AD189" s="224"/>
      <c r="AE189" s="224"/>
      <c r="AF189" s="224"/>
      <c r="AG189" s="224"/>
      <c r="AH189" s="224"/>
      <c r="AI189" s="224"/>
      <c r="AJ189" s="224"/>
      <c r="AK189" s="224"/>
      <c r="AL189" s="224"/>
      <c r="AM189" s="224"/>
      <c r="AN189" s="224"/>
      <c r="AO189" s="224"/>
      <c r="AP189" s="224"/>
      <c r="AQ189" s="224"/>
      <c r="AR189" s="224"/>
      <c r="AS189" s="224"/>
      <c r="AT189" s="224"/>
      <c r="AU189" s="224"/>
      <c r="AV189" s="224"/>
      <c r="AW189" s="224"/>
      <c r="AX189" s="224"/>
      <c r="AY189" s="224"/>
      <c r="AZ189" s="224"/>
      <c r="BA189" s="224"/>
      <c r="BB189" s="224"/>
      <c r="BC189" s="224"/>
      <c r="BD189" s="224"/>
      <c r="BE189" s="224"/>
      <c r="BF189" s="224"/>
      <c r="BG189" s="224"/>
      <c r="BH189" s="224"/>
      <c r="BI189" s="224"/>
      <c r="BJ189" s="224"/>
      <c r="BK189" s="224"/>
      <c r="BL189" s="224"/>
      <c r="BM189" s="224"/>
      <c r="BN189" s="224"/>
      <c r="BO189" s="224"/>
      <c r="BP189" s="224"/>
      <c r="BQ189" s="224"/>
      <c r="BR189" s="224"/>
      <c r="BS189" s="224"/>
      <c r="BT189" s="224"/>
      <c r="BU189" s="224"/>
      <c r="BV189" s="224"/>
    </row>
    <row r="190" spans="2:74" x14ac:dyDescent="0.2">
      <c r="B190" s="210"/>
      <c r="C190" s="203"/>
      <c r="D190" s="203"/>
      <c r="E190" s="261"/>
      <c r="F190" s="224"/>
      <c r="G190" s="224"/>
      <c r="H190" s="224"/>
      <c r="I190" s="224"/>
      <c r="J190" s="224"/>
      <c r="K190" s="224"/>
      <c r="L190" s="224"/>
      <c r="M190" s="224"/>
      <c r="N190" s="224"/>
      <c r="O190" s="224"/>
      <c r="P190" s="224"/>
      <c r="Q190" s="224"/>
      <c r="R190" s="224"/>
      <c r="S190" s="224"/>
      <c r="T190" s="224"/>
      <c r="U190" s="224"/>
      <c r="V190" s="224"/>
      <c r="W190" s="224"/>
      <c r="X190" s="224"/>
      <c r="Y190" s="224"/>
      <c r="Z190" s="224"/>
      <c r="AA190" s="224"/>
      <c r="AB190" s="224"/>
      <c r="AC190" s="224"/>
      <c r="AD190" s="224"/>
      <c r="AE190" s="224"/>
      <c r="AF190" s="224"/>
      <c r="AG190" s="224"/>
      <c r="AH190" s="224"/>
      <c r="AI190" s="224"/>
      <c r="AJ190" s="224"/>
      <c r="AK190" s="224"/>
      <c r="AL190" s="224"/>
      <c r="AM190" s="224"/>
      <c r="AN190" s="224"/>
      <c r="AO190" s="224"/>
      <c r="AP190" s="224"/>
      <c r="AQ190" s="224"/>
      <c r="AR190" s="224"/>
      <c r="AS190" s="224"/>
      <c r="AT190" s="224"/>
      <c r="AU190" s="224"/>
      <c r="AV190" s="224"/>
      <c r="AW190" s="224"/>
      <c r="AX190" s="224"/>
      <c r="AY190" s="224"/>
      <c r="AZ190" s="224"/>
      <c r="BA190" s="224"/>
      <c r="BB190" s="224"/>
      <c r="BC190" s="224"/>
      <c r="BD190" s="224"/>
      <c r="BE190" s="224"/>
      <c r="BF190" s="224"/>
      <c r="BG190" s="224"/>
      <c r="BH190" s="224"/>
      <c r="BI190" s="224"/>
      <c r="BJ190" s="224"/>
      <c r="BK190" s="224"/>
      <c r="BL190" s="224"/>
      <c r="BM190" s="224"/>
      <c r="BN190" s="224"/>
      <c r="BO190" s="224"/>
      <c r="BP190" s="224"/>
      <c r="BQ190" s="224"/>
      <c r="BR190" s="224"/>
      <c r="BS190" s="224"/>
      <c r="BT190" s="224"/>
      <c r="BU190" s="224"/>
      <c r="BV190" s="224"/>
    </row>
    <row r="191" spans="2:74" x14ac:dyDescent="0.2">
      <c r="B191" s="210"/>
      <c r="C191" s="203"/>
      <c r="D191" s="203"/>
      <c r="E191" s="261"/>
      <c r="F191" s="224"/>
      <c r="G191" s="224"/>
      <c r="H191" s="224"/>
      <c r="I191" s="224"/>
      <c r="J191" s="224"/>
      <c r="K191" s="224"/>
      <c r="L191" s="224"/>
      <c r="M191" s="224"/>
      <c r="N191" s="224"/>
      <c r="O191" s="224"/>
      <c r="P191" s="224"/>
      <c r="Q191" s="224"/>
      <c r="R191" s="224"/>
      <c r="S191" s="224"/>
      <c r="T191" s="224"/>
      <c r="U191" s="224"/>
      <c r="V191" s="224"/>
      <c r="W191" s="224"/>
      <c r="X191" s="224"/>
      <c r="Y191" s="224"/>
      <c r="Z191" s="224"/>
      <c r="AA191" s="224"/>
      <c r="AB191" s="224"/>
      <c r="AC191" s="224"/>
      <c r="AD191" s="224"/>
      <c r="AE191" s="224"/>
      <c r="AF191" s="224"/>
      <c r="AG191" s="224"/>
      <c r="AH191" s="224"/>
      <c r="AI191" s="224"/>
      <c r="AJ191" s="224"/>
      <c r="AK191" s="224"/>
      <c r="AL191" s="224"/>
      <c r="AM191" s="224"/>
      <c r="AN191" s="224"/>
      <c r="AO191" s="224"/>
      <c r="AP191" s="224"/>
      <c r="AQ191" s="224"/>
      <c r="AR191" s="224"/>
      <c r="AS191" s="224"/>
      <c r="AT191" s="224"/>
      <c r="AU191" s="224"/>
      <c r="AV191" s="224"/>
      <c r="AW191" s="224"/>
      <c r="AX191" s="224"/>
      <c r="AY191" s="224"/>
      <c r="AZ191" s="224"/>
      <c r="BA191" s="224"/>
      <c r="BB191" s="224"/>
      <c r="BC191" s="224"/>
      <c r="BD191" s="224"/>
      <c r="BE191" s="224"/>
      <c r="BF191" s="224"/>
      <c r="BG191" s="224"/>
      <c r="BH191" s="224"/>
      <c r="BI191" s="224"/>
      <c r="BJ191" s="224"/>
      <c r="BK191" s="224"/>
      <c r="BL191" s="224"/>
      <c r="BM191" s="224"/>
      <c r="BN191" s="224"/>
      <c r="BO191" s="224"/>
      <c r="BP191" s="224"/>
      <c r="BQ191" s="224"/>
      <c r="BR191" s="224"/>
      <c r="BS191" s="224"/>
      <c r="BT191" s="224"/>
      <c r="BU191" s="224"/>
      <c r="BV191" s="224"/>
    </row>
    <row r="192" spans="2:74" x14ac:dyDescent="0.2">
      <c r="B192" s="210"/>
      <c r="C192" s="203"/>
      <c r="D192" s="203"/>
      <c r="E192" s="261"/>
      <c r="F192" s="224"/>
      <c r="G192" s="224"/>
      <c r="H192" s="224"/>
      <c r="I192" s="224"/>
      <c r="J192" s="224"/>
      <c r="K192" s="224"/>
      <c r="L192" s="224"/>
      <c r="M192" s="224"/>
      <c r="N192" s="224"/>
      <c r="O192" s="224"/>
      <c r="P192" s="224"/>
      <c r="Q192" s="224"/>
      <c r="R192" s="224"/>
      <c r="S192" s="224"/>
      <c r="T192" s="224"/>
      <c r="U192" s="224"/>
      <c r="V192" s="224"/>
      <c r="W192" s="224"/>
      <c r="X192" s="224"/>
      <c r="Y192" s="224"/>
      <c r="Z192" s="224"/>
      <c r="AA192" s="224"/>
      <c r="AB192" s="224"/>
      <c r="AC192" s="224"/>
      <c r="AD192" s="224"/>
      <c r="AE192" s="224"/>
      <c r="AF192" s="224"/>
      <c r="AG192" s="224"/>
      <c r="AH192" s="224"/>
      <c r="AI192" s="224"/>
      <c r="AJ192" s="224"/>
      <c r="AK192" s="224"/>
      <c r="AL192" s="224"/>
      <c r="AM192" s="224"/>
      <c r="AN192" s="224"/>
      <c r="AO192" s="224"/>
      <c r="AP192" s="224"/>
      <c r="AQ192" s="224"/>
      <c r="AR192" s="224"/>
      <c r="AS192" s="224"/>
      <c r="AT192" s="224"/>
      <c r="AU192" s="224"/>
      <c r="AV192" s="224"/>
      <c r="AW192" s="224"/>
      <c r="AX192" s="224"/>
      <c r="AY192" s="224"/>
      <c r="AZ192" s="224"/>
      <c r="BA192" s="224"/>
      <c r="BB192" s="224"/>
      <c r="BC192" s="224"/>
      <c r="BD192" s="224"/>
      <c r="BE192" s="224"/>
      <c r="BF192" s="224"/>
      <c r="BG192" s="224"/>
      <c r="BH192" s="224"/>
      <c r="BI192" s="224"/>
      <c r="BJ192" s="224"/>
      <c r="BK192" s="224"/>
      <c r="BL192" s="224"/>
      <c r="BM192" s="224"/>
      <c r="BN192" s="224"/>
      <c r="BO192" s="224"/>
      <c r="BP192" s="224"/>
      <c r="BQ192" s="224"/>
      <c r="BR192" s="224"/>
      <c r="BS192" s="224"/>
      <c r="BT192" s="224"/>
      <c r="BU192" s="224"/>
      <c r="BV192" s="224"/>
    </row>
    <row r="193" spans="2:74" x14ac:dyDescent="0.2">
      <c r="B193" s="210"/>
      <c r="C193" s="203"/>
      <c r="D193" s="203"/>
      <c r="E193" s="261"/>
      <c r="F193" s="224"/>
      <c r="G193" s="224"/>
      <c r="H193" s="224"/>
      <c r="I193" s="224"/>
      <c r="J193" s="224"/>
      <c r="K193" s="224"/>
      <c r="L193" s="224"/>
      <c r="M193" s="224"/>
      <c r="N193" s="224"/>
      <c r="O193" s="224"/>
      <c r="P193" s="224"/>
      <c r="Q193" s="224"/>
      <c r="R193" s="224"/>
      <c r="S193" s="224"/>
      <c r="T193" s="224"/>
      <c r="U193" s="224"/>
      <c r="V193" s="224"/>
      <c r="W193" s="224"/>
      <c r="X193" s="224"/>
      <c r="Y193" s="224"/>
      <c r="Z193" s="224"/>
      <c r="AA193" s="224"/>
      <c r="AB193" s="224"/>
      <c r="AC193" s="224"/>
      <c r="AD193" s="224"/>
      <c r="AE193" s="224"/>
      <c r="AF193" s="224"/>
      <c r="AG193" s="224"/>
      <c r="AH193" s="224"/>
      <c r="AI193" s="224"/>
      <c r="AJ193" s="224"/>
      <c r="AK193" s="224"/>
      <c r="AL193" s="224"/>
      <c r="AM193" s="224"/>
      <c r="AN193" s="224"/>
      <c r="AO193" s="224"/>
      <c r="AP193" s="224"/>
      <c r="AQ193" s="224"/>
      <c r="AR193" s="224"/>
      <c r="AS193" s="224"/>
      <c r="AT193" s="224"/>
      <c r="AU193" s="224"/>
      <c r="AV193" s="224"/>
      <c r="AW193" s="224"/>
      <c r="AX193" s="224"/>
      <c r="AY193" s="224"/>
      <c r="AZ193" s="224"/>
      <c r="BA193" s="224"/>
      <c r="BB193" s="224"/>
      <c r="BC193" s="224"/>
      <c r="BD193" s="224"/>
      <c r="BE193" s="224"/>
      <c r="BF193" s="224"/>
      <c r="BG193" s="224"/>
      <c r="BH193" s="224"/>
      <c r="BI193" s="224"/>
      <c r="BJ193" s="224"/>
      <c r="BK193" s="224"/>
      <c r="BL193" s="224"/>
      <c r="BM193" s="224"/>
      <c r="BN193" s="224"/>
      <c r="BO193" s="224"/>
      <c r="BP193" s="224"/>
      <c r="BQ193" s="224"/>
      <c r="BR193" s="224"/>
      <c r="BS193" s="224"/>
      <c r="BT193" s="224"/>
      <c r="BU193" s="224"/>
      <c r="BV193" s="224"/>
    </row>
    <row r="194" spans="2:74" x14ac:dyDescent="0.2">
      <c r="B194" s="210"/>
      <c r="C194" s="203"/>
      <c r="D194" s="203"/>
      <c r="E194" s="261"/>
      <c r="F194" s="224"/>
      <c r="G194" s="224"/>
      <c r="H194" s="224"/>
      <c r="I194" s="224"/>
      <c r="J194" s="224"/>
      <c r="K194" s="224"/>
      <c r="L194" s="224"/>
      <c r="M194" s="224"/>
      <c r="N194" s="224"/>
      <c r="O194" s="224"/>
      <c r="P194" s="224"/>
      <c r="Q194" s="224"/>
      <c r="R194" s="224"/>
      <c r="S194" s="224"/>
      <c r="T194" s="224"/>
      <c r="U194" s="224"/>
      <c r="V194" s="224"/>
      <c r="W194" s="224"/>
      <c r="X194" s="224"/>
      <c r="Y194" s="224"/>
      <c r="Z194" s="224"/>
      <c r="AA194" s="224"/>
      <c r="AB194" s="224"/>
      <c r="AC194" s="224"/>
      <c r="AD194" s="224"/>
      <c r="AE194" s="224"/>
      <c r="AF194" s="224"/>
      <c r="AG194" s="224"/>
      <c r="AH194" s="224"/>
      <c r="AI194" s="224"/>
      <c r="AJ194" s="224"/>
      <c r="AK194" s="224"/>
      <c r="AL194" s="224"/>
      <c r="AM194" s="224"/>
      <c r="AN194" s="224"/>
      <c r="AO194" s="224"/>
      <c r="AP194" s="224"/>
      <c r="AQ194" s="224"/>
      <c r="AR194" s="224"/>
      <c r="AS194" s="224"/>
      <c r="AT194" s="224"/>
      <c r="AU194" s="224"/>
      <c r="AV194" s="224"/>
      <c r="AW194" s="224"/>
      <c r="AX194" s="224"/>
      <c r="AY194" s="224"/>
      <c r="AZ194" s="224"/>
      <c r="BA194" s="224"/>
      <c r="BB194" s="224"/>
      <c r="BC194" s="224"/>
      <c r="BD194" s="224"/>
      <c r="BE194" s="224"/>
      <c r="BF194" s="224"/>
      <c r="BG194" s="224"/>
      <c r="BH194" s="224"/>
      <c r="BI194" s="224"/>
      <c r="BJ194" s="224"/>
      <c r="BK194" s="224"/>
      <c r="BL194" s="224"/>
      <c r="BM194" s="224"/>
      <c r="BN194" s="224"/>
      <c r="BO194" s="224"/>
      <c r="BP194" s="224"/>
      <c r="BQ194" s="224"/>
      <c r="BR194" s="224"/>
      <c r="BS194" s="224"/>
      <c r="BT194" s="224"/>
      <c r="BU194" s="224"/>
      <c r="BV194" s="224"/>
    </row>
    <row r="195" spans="2:74" x14ac:dyDescent="0.2">
      <c r="B195" s="210"/>
      <c r="C195" s="203"/>
      <c r="D195" s="203"/>
      <c r="E195" s="261"/>
      <c r="F195" s="224"/>
      <c r="G195" s="224"/>
      <c r="H195" s="224"/>
      <c r="I195" s="224"/>
      <c r="J195" s="224"/>
      <c r="K195" s="224"/>
      <c r="L195" s="224"/>
      <c r="M195" s="224"/>
      <c r="N195" s="224"/>
      <c r="O195" s="224"/>
      <c r="P195" s="224"/>
      <c r="Q195" s="224"/>
      <c r="R195" s="224"/>
      <c r="S195" s="224"/>
      <c r="T195" s="224"/>
      <c r="U195" s="224"/>
      <c r="V195" s="224"/>
      <c r="W195" s="224"/>
      <c r="X195" s="224"/>
      <c r="Y195" s="224"/>
      <c r="Z195" s="224"/>
      <c r="AA195" s="224"/>
      <c r="AB195" s="224"/>
      <c r="AC195" s="224"/>
      <c r="AD195" s="224"/>
      <c r="AE195" s="224"/>
      <c r="AF195" s="224"/>
      <c r="AG195" s="224"/>
      <c r="AH195" s="224"/>
      <c r="AI195" s="224"/>
      <c r="AJ195" s="224"/>
      <c r="AK195" s="224"/>
      <c r="AL195" s="224"/>
      <c r="AM195" s="224"/>
      <c r="AN195" s="224"/>
      <c r="AO195" s="224"/>
      <c r="AP195" s="224"/>
      <c r="AQ195" s="224"/>
      <c r="AR195" s="224"/>
      <c r="AS195" s="224"/>
      <c r="AT195" s="224"/>
      <c r="AU195" s="224"/>
      <c r="AV195" s="224"/>
      <c r="AW195" s="224"/>
      <c r="AX195" s="224"/>
      <c r="AY195" s="224"/>
      <c r="AZ195" s="224"/>
      <c r="BA195" s="224"/>
      <c r="BB195" s="224"/>
      <c r="BC195" s="224"/>
      <c r="BD195" s="224"/>
      <c r="BE195" s="224"/>
      <c r="BF195" s="224"/>
      <c r="BG195" s="224"/>
      <c r="BH195" s="224"/>
      <c r="BI195" s="224"/>
      <c r="BJ195" s="224"/>
      <c r="BK195" s="224"/>
      <c r="BL195" s="224"/>
      <c r="BM195" s="224"/>
      <c r="BN195" s="224"/>
      <c r="BO195" s="224"/>
      <c r="BP195" s="224"/>
      <c r="BQ195" s="224"/>
      <c r="BR195" s="224"/>
      <c r="BS195" s="224"/>
      <c r="BT195" s="224"/>
      <c r="BU195" s="224"/>
      <c r="BV195" s="224"/>
    </row>
    <row r="196" spans="2:74" x14ac:dyDescent="0.2">
      <c r="B196" s="210"/>
      <c r="C196" s="203"/>
      <c r="D196" s="203"/>
      <c r="E196" s="261"/>
      <c r="F196" s="224"/>
      <c r="G196" s="224"/>
      <c r="H196" s="224"/>
      <c r="I196" s="224"/>
      <c r="J196" s="224"/>
      <c r="K196" s="224"/>
      <c r="L196" s="224"/>
      <c r="M196" s="224"/>
      <c r="N196" s="224"/>
      <c r="O196" s="224"/>
      <c r="P196" s="224"/>
      <c r="Q196" s="224"/>
      <c r="R196" s="224"/>
      <c r="S196" s="224"/>
      <c r="T196" s="224"/>
      <c r="U196" s="224"/>
      <c r="V196" s="224"/>
      <c r="W196" s="224"/>
      <c r="X196" s="224"/>
      <c r="Y196" s="224"/>
      <c r="Z196" s="224"/>
      <c r="AA196" s="224"/>
      <c r="AB196" s="224"/>
      <c r="AC196" s="224"/>
      <c r="AD196" s="224"/>
      <c r="AE196" s="224"/>
      <c r="AF196" s="224"/>
      <c r="AG196" s="224"/>
      <c r="AH196" s="224"/>
      <c r="AI196" s="224"/>
      <c r="AJ196" s="224"/>
      <c r="AK196" s="224"/>
      <c r="AL196" s="224"/>
      <c r="AM196" s="224"/>
      <c r="AN196" s="224"/>
      <c r="AO196" s="224"/>
      <c r="AP196" s="224"/>
      <c r="AQ196" s="224"/>
      <c r="AR196" s="224"/>
      <c r="AS196" s="224"/>
      <c r="AT196" s="224"/>
      <c r="AU196" s="224"/>
      <c r="AV196" s="224"/>
      <c r="AW196" s="224"/>
      <c r="AX196" s="224"/>
      <c r="AY196" s="224"/>
      <c r="AZ196" s="224"/>
      <c r="BA196" s="224"/>
      <c r="BB196" s="224"/>
      <c r="BC196" s="224"/>
      <c r="BD196" s="224"/>
      <c r="BE196" s="224"/>
      <c r="BF196" s="224"/>
      <c r="BG196" s="224"/>
      <c r="BH196" s="224"/>
      <c r="BI196" s="224"/>
      <c r="BJ196" s="224"/>
      <c r="BK196" s="224"/>
      <c r="BL196" s="224"/>
      <c r="BM196" s="224"/>
      <c r="BN196" s="224"/>
      <c r="BO196" s="224"/>
      <c r="BP196" s="224"/>
      <c r="BQ196" s="224"/>
      <c r="BR196" s="224"/>
      <c r="BS196" s="224"/>
      <c r="BT196" s="224"/>
      <c r="BU196" s="224"/>
      <c r="BV196" s="224"/>
    </row>
    <row r="197" spans="2:74" x14ac:dyDescent="0.2">
      <c r="B197" s="210"/>
      <c r="C197" s="203"/>
      <c r="D197" s="203"/>
      <c r="E197" s="261"/>
      <c r="F197" s="224"/>
      <c r="G197" s="224"/>
      <c r="H197" s="224"/>
      <c r="I197" s="224"/>
      <c r="J197" s="224"/>
      <c r="K197" s="224"/>
      <c r="L197" s="224"/>
      <c r="M197" s="224"/>
      <c r="N197" s="224"/>
      <c r="O197" s="224"/>
      <c r="P197" s="224"/>
      <c r="Q197" s="224"/>
      <c r="R197" s="224"/>
      <c r="S197" s="224"/>
      <c r="T197" s="224"/>
      <c r="U197" s="224"/>
      <c r="V197" s="224"/>
      <c r="W197" s="224"/>
      <c r="X197" s="224"/>
      <c r="Y197" s="224"/>
      <c r="Z197" s="224"/>
      <c r="AA197" s="224"/>
      <c r="AB197" s="224"/>
      <c r="AC197" s="224"/>
      <c r="AD197" s="224"/>
      <c r="AE197" s="224"/>
      <c r="AF197" s="224"/>
      <c r="AG197" s="224"/>
      <c r="AH197" s="224"/>
      <c r="AI197" s="224"/>
      <c r="AJ197" s="224"/>
      <c r="AK197" s="224"/>
      <c r="AL197" s="224"/>
      <c r="AM197" s="224"/>
      <c r="AN197" s="224"/>
      <c r="AO197" s="224"/>
      <c r="AP197" s="224"/>
      <c r="AQ197" s="224"/>
      <c r="AR197" s="224"/>
      <c r="AS197" s="224"/>
      <c r="AT197" s="224"/>
      <c r="AU197" s="224"/>
      <c r="AV197" s="224"/>
      <c r="AW197" s="224"/>
      <c r="AX197" s="224"/>
      <c r="AY197" s="224"/>
      <c r="AZ197" s="224"/>
      <c r="BA197" s="224"/>
      <c r="BB197" s="224"/>
      <c r="BC197" s="224"/>
      <c r="BD197" s="224"/>
      <c r="BE197" s="224"/>
      <c r="BF197" s="224"/>
      <c r="BG197" s="224"/>
      <c r="BH197" s="224"/>
      <c r="BI197" s="224"/>
      <c r="BJ197" s="224"/>
      <c r="BK197" s="224"/>
      <c r="BL197" s="224"/>
      <c r="BM197" s="224"/>
      <c r="BN197" s="224"/>
      <c r="BO197" s="224"/>
      <c r="BP197" s="224"/>
      <c r="BQ197" s="224"/>
      <c r="BR197" s="224"/>
      <c r="BS197" s="224"/>
      <c r="BT197" s="224"/>
      <c r="BU197" s="224"/>
      <c r="BV197" s="224"/>
    </row>
    <row r="198" spans="2:74" x14ac:dyDescent="0.2">
      <c r="B198" s="210"/>
      <c r="C198" s="203"/>
      <c r="D198" s="203"/>
      <c r="E198" s="261"/>
      <c r="F198" s="224"/>
      <c r="G198" s="224"/>
      <c r="H198" s="224"/>
      <c r="I198" s="224"/>
      <c r="J198" s="224"/>
      <c r="K198" s="224"/>
      <c r="L198" s="224"/>
      <c r="M198" s="224"/>
      <c r="N198" s="224"/>
      <c r="O198" s="224"/>
      <c r="P198" s="224"/>
      <c r="Q198" s="224"/>
      <c r="R198" s="224"/>
      <c r="S198" s="224"/>
      <c r="T198" s="224"/>
      <c r="U198" s="224"/>
      <c r="V198" s="224"/>
      <c r="W198" s="224"/>
      <c r="X198" s="224"/>
      <c r="Y198" s="224"/>
      <c r="Z198" s="224"/>
      <c r="AA198" s="224"/>
      <c r="AB198" s="224"/>
      <c r="AC198" s="224"/>
      <c r="AD198" s="224"/>
      <c r="AE198" s="224"/>
      <c r="AF198" s="224"/>
      <c r="AG198" s="224"/>
      <c r="AH198" s="224"/>
      <c r="AI198" s="224"/>
      <c r="AJ198" s="224"/>
      <c r="AK198" s="224"/>
      <c r="AL198" s="224"/>
      <c r="AM198" s="224"/>
      <c r="AN198" s="224"/>
      <c r="AO198" s="224"/>
      <c r="AP198" s="224"/>
      <c r="AQ198" s="224"/>
      <c r="AR198" s="224"/>
      <c r="AS198" s="224"/>
      <c r="AT198" s="224"/>
      <c r="AU198" s="224"/>
      <c r="AV198" s="224"/>
      <c r="AW198" s="224"/>
      <c r="AX198" s="224"/>
      <c r="AY198" s="224"/>
      <c r="AZ198" s="224"/>
      <c r="BA198" s="224"/>
      <c r="BB198" s="224"/>
      <c r="BC198" s="224"/>
      <c r="BD198" s="224"/>
      <c r="BE198" s="224"/>
      <c r="BF198" s="224"/>
      <c r="BG198" s="224"/>
      <c r="BH198" s="224"/>
      <c r="BI198" s="224"/>
      <c r="BJ198" s="224"/>
      <c r="BK198" s="224"/>
      <c r="BL198" s="224"/>
      <c r="BM198" s="224"/>
      <c r="BN198" s="224"/>
      <c r="BO198" s="224"/>
      <c r="BP198" s="224"/>
      <c r="BQ198" s="224"/>
      <c r="BR198" s="224"/>
      <c r="BS198" s="224"/>
      <c r="BT198" s="224"/>
      <c r="BU198" s="224"/>
      <c r="BV198" s="224"/>
    </row>
    <row r="199" spans="2:74" x14ac:dyDescent="0.2">
      <c r="B199" s="210"/>
      <c r="C199" s="203"/>
      <c r="D199" s="203"/>
      <c r="E199" s="261"/>
      <c r="F199" s="224"/>
      <c r="G199" s="224"/>
      <c r="H199" s="224"/>
      <c r="I199" s="224"/>
      <c r="J199" s="224"/>
      <c r="K199" s="224"/>
      <c r="L199" s="224"/>
      <c r="M199" s="224"/>
      <c r="N199" s="224"/>
      <c r="O199" s="224"/>
      <c r="P199" s="224"/>
      <c r="Q199" s="224"/>
      <c r="R199" s="224"/>
      <c r="S199" s="224"/>
      <c r="T199" s="224"/>
      <c r="U199" s="224"/>
      <c r="V199" s="224"/>
      <c r="W199" s="224"/>
      <c r="X199" s="224"/>
      <c r="Y199" s="224"/>
      <c r="Z199" s="224"/>
      <c r="AA199" s="224"/>
      <c r="AB199" s="224"/>
      <c r="AC199" s="224"/>
      <c r="AD199" s="224"/>
      <c r="AE199" s="224"/>
      <c r="AF199" s="224"/>
      <c r="AG199" s="224"/>
      <c r="AH199" s="224"/>
      <c r="AI199" s="224"/>
      <c r="AJ199" s="224"/>
      <c r="AK199" s="224"/>
      <c r="AL199" s="224"/>
      <c r="AM199" s="224"/>
      <c r="AN199" s="224"/>
      <c r="AO199" s="224"/>
      <c r="AP199" s="224"/>
      <c r="AQ199" s="224"/>
      <c r="AR199" s="224"/>
      <c r="AS199" s="224"/>
      <c r="AT199" s="224"/>
      <c r="AU199" s="224"/>
      <c r="AV199" s="224"/>
      <c r="AW199" s="224"/>
      <c r="AX199" s="224"/>
      <c r="AY199" s="224"/>
      <c r="AZ199" s="224"/>
      <c r="BA199" s="224"/>
      <c r="BB199" s="224"/>
      <c r="BC199" s="224"/>
      <c r="BD199" s="224"/>
      <c r="BE199" s="224"/>
      <c r="BF199" s="224"/>
      <c r="BG199" s="224"/>
      <c r="BH199" s="224"/>
      <c r="BI199" s="224"/>
      <c r="BJ199" s="224"/>
      <c r="BK199" s="224"/>
      <c r="BL199" s="224"/>
      <c r="BM199" s="224"/>
      <c r="BN199" s="224"/>
      <c r="BO199" s="224"/>
      <c r="BP199" s="224"/>
      <c r="BQ199" s="224"/>
      <c r="BR199" s="224"/>
      <c r="BS199" s="224"/>
      <c r="BT199" s="224"/>
      <c r="BU199" s="224"/>
      <c r="BV199" s="224"/>
    </row>
    <row r="200" spans="2:74" x14ac:dyDescent="0.2">
      <c r="B200" s="210"/>
      <c r="C200" s="210"/>
      <c r="D200" s="210"/>
      <c r="E200" s="261"/>
      <c r="F200" s="224"/>
      <c r="G200" s="224"/>
      <c r="H200" s="224"/>
      <c r="I200" s="224"/>
      <c r="J200" s="224"/>
      <c r="K200" s="224"/>
      <c r="L200" s="224"/>
      <c r="M200" s="224"/>
      <c r="N200" s="224"/>
      <c r="O200" s="224"/>
      <c r="P200" s="224"/>
      <c r="Q200" s="224"/>
      <c r="R200" s="224"/>
      <c r="S200" s="224"/>
      <c r="T200" s="224"/>
      <c r="U200" s="224"/>
      <c r="V200" s="224"/>
      <c r="W200" s="224"/>
      <c r="X200" s="224"/>
      <c r="Y200" s="224"/>
      <c r="Z200" s="224"/>
      <c r="AA200" s="224"/>
      <c r="AB200" s="224"/>
      <c r="AC200" s="224"/>
      <c r="AD200" s="224"/>
      <c r="AE200" s="224"/>
      <c r="AF200" s="224"/>
      <c r="AG200" s="224"/>
      <c r="AH200" s="224"/>
      <c r="AI200" s="224"/>
      <c r="AJ200" s="224"/>
      <c r="AK200" s="224"/>
      <c r="AL200" s="224"/>
      <c r="AM200" s="224"/>
      <c r="AN200" s="224"/>
      <c r="AO200" s="224"/>
      <c r="AP200" s="224"/>
      <c r="AQ200" s="224"/>
      <c r="AR200" s="224"/>
      <c r="AS200" s="224"/>
      <c r="AT200" s="224"/>
      <c r="AU200" s="224"/>
      <c r="AV200" s="224"/>
      <c r="AW200" s="224"/>
      <c r="AX200" s="224"/>
      <c r="AY200" s="224"/>
      <c r="AZ200" s="224"/>
      <c r="BA200" s="224"/>
      <c r="BB200" s="224"/>
      <c r="BC200" s="224"/>
      <c r="BD200" s="224"/>
      <c r="BE200" s="224"/>
      <c r="BF200" s="224"/>
      <c r="BG200" s="224"/>
      <c r="BH200" s="224"/>
      <c r="BI200" s="224"/>
      <c r="BJ200" s="224"/>
      <c r="BK200" s="224"/>
      <c r="BL200" s="224"/>
      <c r="BM200" s="224"/>
      <c r="BN200" s="224"/>
      <c r="BO200" s="224"/>
      <c r="BP200" s="224"/>
      <c r="BQ200" s="224"/>
      <c r="BR200" s="224"/>
      <c r="BS200" s="224"/>
      <c r="BT200" s="224"/>
      <c r="BU200" s="224"/>
      <c r="BV200" s="224"/>
    </row>
    <row r="201" spans="2:74" x14ac:dyDescent="0.2">
      <c r="B201" s="210"/>
      <c r="C201" s="210"/>
      <c r="D201" s="210"/>
      <c r="E201" s="261"/>
      <c r="F201" s="224"/>
      <c r="G201" s="224"/>
      <c r="H201" s="224"/>
      <c r="I201" s="224"/>
      <c r="J201" s="224"/>
      <c r="K201" s="224"/>
      <c r="L201" s="224"/>
      <c r="M201" s="224"/>
      <c r="N201" s="224"/>
      <c r="O201" s="224"/>
      <c r="P201" s="224"/>
      <c r="Q201" s="224"/>
      <c r="R201" s="224"/>
      <c r="S201" s="224"/>
      <c r="T201" s="224"/>
      <c r="U201" s="224"/>
      <c r="V201" s="224"/>
      <c r="W201" s="224"/>
      <c r="X201" s="224"/>
      <c r="Y201" s="224"/>
      <c r="Z201" s="224"/>
      <c r="AA201" s="224"/>
      <c r="AB201" s="224"/>
      <c r="AC201" s="224"/>
      <c r="AD201" s="224"/>
      <c r="AE201" s="224"/>
      <c r="AF201" s="224"/>
      <c r="AG201" s="224"/>
      <c r="AH201" s="224"/>
      <c r="AI201" s="224"/>
      <c r="AJ201" s="224"/>
      <c r="AK201" s="224"/>
      <c r="AL201" s="224"/>
      <c r="AM201" s="224"/>
      <c r="AN201" s="224"/>
      <c r="AO201" s="224"/>
      <c r="AP201" s="224"/>
      <c r="AQ201" s="224"/>
      <c r="AR201" s="224"/>
      <c r="AS201" s="224"/>
      <c r="AT201" s="224"/>
      <c r="AU201" s="224"/>
      <c r="AV201" s="224"/>
      <c r="AW201" s="224"/>
      <c r="AX201" s="224"/>
      <c r="AY201" s="224"/>
      <c r="AZ201" s="224"/>
      <c r="BA201" s="224"/>
      <c r="BB201" s="224"/>
      <c r="BC201" s="224"/>
      <c r="BD201" s="224"/>
      <c r="BE201" s="224"/>
      <c r="BF201" s="224"/>
      <c r="BG201" s="224"/>
      <c r="BH201" s="224"/>
      <c r="BI201" s="224"/>
      <c r="BJ201" s="224"/>
      <c r="BK201" s="224"/>
      <c r="BL201" s="224"/>
      <c r="BM201" s="224"/>
      <c r="BN201" s="224"/>
      <c r="BO201" s="224"/>
      <c r="BP201" s="224"/>
      <c r="BQ201" s="224"/>
      <c r="BR201" s="224"/>
      <c r="BS201" s="224"/>
      <c r="BT201" s="224"/>
      <c r="BU201" s="224"/>
      <c r="BV201" s="224"/>
    </row>
    <row r="202" spans="2:74" x14ac:dyDescent="0.2">
      <c r="B202" s="210"/>
      <c r="C202" s="203"/>
      <c r="D202" s="203"/>
      <c r="E202" s="261"/>
      <c r="F202" s="224"/>
      <c r="G202" s="224"/>
      <c r="H202" s="224"/>
      <c r="I202" s="224"/>
      <c r="J202" s="224"/>
      <c r="K202" s="224"/>
      <c r="L202" s="224"/>
      <c r="M202" s="224"/>
      <c r="N202" s="224"/>
      <c r="O202" s="224"/>
      <c r="P202" s="224"/>
      <c r="Q202" s="224"/>
      <c r="R202" s="224"/>
      <c r="S202" s="224"/>
      <c r="T202" s="224"/>
      <c r="U202" s="224"/>
      <c r="V202" s="224"/>
      <c r="W202" s="224"/>
      <c r="X202" s="224"/>
      <c r="Y202" s="224"/>
      <c r="Z202" s="224"/>
      <c r="AA202" s="224"/>
      <c r="AB202" s="224"/>
      <c r="AC202" s="224"/>
      <c r="AD202" s="224"/>
      <c r="AE202" s="224"/>
      <c r="AF202" s="224"/>
      <c r="AG202" s="224"/>
      <c r="AH202" s="224"/>
      <c r="AI202" s="224"/>
      <c r="AJ202" s="224"/>
      <c r="AK202" s="224"/>
      <c r="AL202" s="224"/>
      <c r="AM202" s="224"/>
      <c r="AN202" s="224"/>
      <c r="AO202" s="224"/>
      <c r="AP202" s="224"/>
      <c r="AQ202" s="224"/>
      <c r="AR202" s="224"/>
      <c r="AS202" s="224"/>
      <c r="AT202" s="224"/>
      <c r="AU202" s="224"/>
      <c r="AV202" s="224"/>
      <c r="AW202" s="224"/>
      <c r="AX202" s="224"/>
      <c r="AY202" s="224"/>
      <c r="AZ202" s="224"/>
      <c r="BA202" s="224"/>
      <c r="BB202" s="224"/>
      <c r="BC202" s="224"/>
      <c r="BD202" s="224"/>
      <c r="BE202" s="224"/>
      <c r="BF202" s="224"/>
      <c r="BG202" s="224"/>
      <c r="BH202" s="224"/>
      <c r="BI202" s="224"/>
      <c r="BJ202" s="224"/>
      <c r="BK202" s="224"/>
      <c r="BL202" s="224"/>
      <c r="BM202" s="224"/>
      <c r="BN202" s="224"/>
      <c r="BO202" s="224"/>
      <c r="BP202" s="224"/>
      <c r="BQ202" s="224"/>
      <c r="BR202" s="224"/>
      <c r="BS202" s="224"/>
      <c r="BT202" s="224"/>
      <c r="BU202" s="224"/>
      <c r="BV202" s="224"/>
    </row>
    <row r="203" spans="2:74" x14ac:dyDescent="0.2">
      <c r="B203" s="210"/>
      <c r="C203" s="203"/>
      <c r="D203" s="203"/>
      <c r="E203" s="261"/>
      <c r="F203" s="224"/>
      <c r="G203" s="224"/>
      <c r="H203" s="224"/>
      <c r="I203" s="224"/>
      <c r="J203" s="224"/>
      <c r="K203" s="224"/>
      <c r="L203" s="224"/>
      <c r="M203" s="224"/>
      <c r="N203" s="224"/>
      <c r="O203" s="224"/>
      <c r="P203" s="224"/>
      <c r="Q203" s="224"/>
      <c r="R203" s="224"/>
      <c r="S203" s="224"/>
      <c r="T203" s="224"/>
      <c r="U203" s="224"/>
      <c r="V203" s="224"/>
      <c r="W203" s="224"/>
      <c r="X203" s="224"/>
      <c r="Y203" s="224"/>
      <c r="Z203" s="224"/>
      <c r="AA203" s="224"/>
      <c r="AB203" s="224"/>
      <c r="AC203" s="224"/>
      <c r="AD203" s="224"/>
      <c r="AE203" s="224"/>
      <c r="AF203" s="224"/>
      <c r="AG203" s="224"/>
      <c r="AH203" s="224"/>
      <c r="AI203" s="224"/>
      <c r="AJ203" s="224"/>
      <c r="AK203" s="224"/>
      <c r="AL203" s="224"/>
      <c r="AM203" s="224"/>
      <c r="AN203" s="224"/>
      <c r="AO203" s="224"/>
      <c r="AP203" s="224"/>
      <c r="AQ203" s="224"/>
      <c r="AR203" s="224"/>
      <c r="AS203" s="224"/>
      <c r="AT203" s="224"/>
      <c r="AU203" s="224"/>
      <c r="AV203" s="224"/>
      <c r="AW203" s="224"/>
      <c r="AX203" s="224"/>
      <c r="AY203" s="224"/>
      <c r="AZ203" s="224"/>
      <c r="BA203" s="224"/>
      <c r="BB203" s="224"/>
      <c r="BC203" s="224"/>
      <c r="BD203" s="224"/>
      <c r="BE203" s="224"/>
      <c r="BF203" s="224"/>
      <c r="BG203" s="224"/>
      <c r="BH203" s="224"/>
      <c r="BI203" s="224"/>
      <c r="BJ203" s="224"/>
      <c r="BK203" s="224"/>
      <c r="BL203" s="224"/>
      <c r="BM203" s="224"/>
      <c r="BN203" s="224"/>
      <c r="BO203" s="224"/>
      <c r="BP203" s="224"/>
      <c r="BQ203" s="224"/>
      <c r="BR203" s="224"/>
      <c r="BS203" s="224"/>
      <c r="BT203" s="224"/>
      <c r="BU203" s="224"/>
      <c r="BV203" s="224"/>
    </row>
    <row r="204" spans="2:74" x14ac:dyDescent="0.2">
      <c r="B204" s="210"/>
      <c r="C204" s="203"/>
      <c r="D204" s="203"/>
      <c r="E204" s="261"/>
      <c r="F204" s="224"/>
      <c r="G204" s="224"/>
      <c r="H204" s="224"/>
      <c r="I204" s="224"/>
      <c r="J204" s="224"/>
      <c r="K204" s="224"/>
      <c r="L204" s="224"/>
      <c r="M204" s="224"/>
      <c r="N204" s="224"/>
      <c r="O204" s="224"/>
      <c r="P204" s="224"/>
      <c r="Q204" s="224"/>
      <c r="R204" s="224"/>
      <c r="S204" s="224"/>
      <c r="T204" s="224"/>
      <c r="U204" s="224"/>
      <c r="V204" s="224"/>
      <c r="W204" s="224"/>
      <c r="X204" s="224"/>
      <c r="Y204" s="224"/>
      <c r="Z204" s="224"/>
      <c r="AA204" s="224"/>
      <c r="AB204" s="224"/>
      <c r="AC204" s="224"/>
      <c r="AD204" s="224"/>
      <c r="AE204" s="224"/>
      <c r="AF204" s="224"/>
      <c r="AG204" s="224"/>
      <c r="AH204" s="224"/>
      <c r="AI204" s="224"/>
      <c r="AJ204" s="224"/>
      <c r="AK204" s="224"/>
      <c r="AL204" s="224"/>
      <c r="AM204" s="224"/>
      <c r="AN204" s="224"/>
      <c r="AO204" s="224"/>
      <c r="AP204" s="224"/>
      <c r="AQ204" s="224"/>
      <c r="AR204" s="224"/>
      <c r="AS204" s="224"/>
      <c r="AT204" s="224"/>
      <c r="AU204" s="224"/>
      <c r="AV204" s="224"/>
      <c r="AW204" s="224"/>
      <c r="AX204" s="224"/>
      <c r="AY204" s="224"/>
      <c r="AZ204" s="224"/>
      <c r="BA204" s="224"/>
      <c r="BB204" s="224"/>
      <c r="BC204" s="224"/>
      <c r="BD204" s="224"/>
      <c r="BE204" s="224"/>
      <c r="BF204" s="224"/>
      <c r="BG204" s="224"/>
      <c r="BH204" s="224"/>
      <c r="BI204" s="224"/>
      <c r="BJ204" s="224"/>
      <c r="BK204" s="224"/>
      <c r="BL204" s="224"/>
      <c r="BM204" s="224"/>
      <c r="BN204" s="224"/>
      <c r="BO204" s="224"/>
      <c r="BP204" s="224"/>
      <c r="BQ204" s="224"/>
      <c r="BR204" s="224"/>
      <c r="BS204" s="224"/>
      <c r="BT204" s="224"/>
      <c r="BU204" s="224"/>
      <c r="BV204" s="224"/>
    </row>
    <row r="220" spans="2:74" x14ac:dyDescent="0.2">
      <c r="E220" s="262"/>
      <c r="F220" s="262"/>
      <c r="G220" s="262"/>
      <c r="H220" s="262"/>
      <c r="I220" s="262"/>
      <c r="J220" s="262"/>
      <c r="K220" s="262"/>
      <c r="L220" s="262"/>
      <c r="M220" s="262"/>
      <c r="N220" s="262"/>
      <c r="O220" s="262"/>
      <c r="P220" s="262"/>
      <c r="Q220" s="262"/>
      <c r="R220" s="262"/>
      <c r="S220" s="262"/>
      <c r="T220" s="262"/>
      <c r="U220" s="262"/>
      <c r="V220" s="262"/>
      <c r="W220" s="262"/>
      <c r="X220" s="262"/>
      <c r="Y220" s="262"/>
      <c r="Z220" s="262"/>
      <c r="AA220" s="262"/>
      <c r="AB220" s="262"/>
      <c r="AC220" s="262"/>
      <c r="AD220" s="262"/>
      <c r="AE220" s="262"/>
      <c r="AF220" s="262"/>
      <c r="AG220" s="262"/>
      <c r="AH220" s="262"/>
      <c r="AI220" s="262"/>
      <c r="AJ220" s="262"/>
      <c r="AK220" s="262"/>
      <c r="AL220" s="262"/>
      <c r="AM220" s="262"/>
      <c r="AN220" s="262"/>
      <c r="AO220" s="262"/>
      <c r="AP220" s="262"/>
      <c r="AQ220" s="262"/>
      <c r="AR220" s="262"/>
      <c r="AS220" s="262"/>
      <c r="AT220" s="262"/>
      <c r="AU220" s="262"/>
      <c r="AV220" s="262"/>
      <c r="AW220" s="262"/>
      <c r="AX220" s="262"/>
      <c r="AY220" s="262"/>
      <c r="AZ220" s="262"/>
      <c r="BA220" s="262"/>
      <c r="BB220" s="262"/>
      <c r="BC220" s="262"/>
      <c r="BD220" s="262"/>
      <c r="BE220" s="262"/>
      <c r="BF220" s="262"/>
      <c r="BG220" s="262"/>
      <c r="BH220" s="262"/>
      <c r="BI220" s="262"/>
      <c r="BJ220" s="262"/>
      <c r="BK220" s="262"/>
      <c r="BL220" s="262"/>
      <c r="BM220" s="262"/>
      <c r="BN220" s="262"/>
      <c r="BO220" s="262"/>
      <c r="BP220" s="262"/>
      <c r="BQ220" s="262"/>
      <c r="BR220" s="262"/>
      <c r="BS220" s="262"/>
      <c r="BT220" s="262"/>
      <c r="BU220" s="262"/>
      <c r="BV220" s="262"/>
    </row>
    <row r="221" spans="2:74" x14ac:dyDescent="0.2">
      <c r="B221" s="210"/>
      <c r="C221" s="203"/>
      <c r="D221" s="203"/>
      <c r="E221" s="261"/>
      <c r="F221" s="224"/>
      <c r="G221" s="224"/>
      <c r="H221" s="224"/>
      <c r="I221" s="224"/>
      <c r="J221" s="224"/>
      <c r="K221" s="224"/>
      <c r="L221" s="224"/>
      <c r="M221" s="224"/>
      <c r="N221" s="224"/>
      <c r="O221" s="224"/>
      <c r="P221" s="224"/>
      <c r="Q221" s="224"/>
      <c r="R221" s="224"/>
      <c r="S221" s="224"/>
      <c r="T221" s="224"/>
      <c r="U221" s="224"/>
      <c r="V221" s="224"/>
      <c r="W221" s="224"/>
      <c r="X221" s="224"/>
      <c r="Y221" s="224"/>
      <c r="Z221" s="224"/>
      <c r="AA221" s="224"/>
      <c r="AB221" s="224"/>
      <c r="AC221" s="224"/>
      <c r="AD221" s="224"/>
      <c r="AE221" s="224"/>
      <c r="AF221" s="224"/>
      <c r="AG221" s="224"/>
      <c r="AH221" s="224"/>
      <c r="AI221" s="224"/>
      <c r="AJ221" s="224"/>
      <c r="AK221" s="224"/>
      <c r="AL221" s="224"/>
      <c r="AM221" s="224"/>
      <c r="AN221" s="224"/>
      <c r="AO221" s="224"/>
      <c r="AP221" s="224"/>
      <c r="AQ221" s="224"/>
      <c r="AR221" s="224"/>
      <c r="AS221" s="224"/>
      <c r="AT221" s="224"/>
      <c r="AU221" s="224"/>
      <c r="AV221" s="224"/>
      <c r="AW221" s="224"/>
      <c r="AX221" s="224"/>
      <c r="AY221" s="224"/>
      <c r="AZ221" s="224"/>
      <c r="BA221" s="224"/>
      <c r="BB221" s="224"/>
      <c r="BC221" s="224"/>
      <c r="BD221" s="224"/>
      <c r="BE221" s="224"/>
      <c r="BF221" s="224"/>
      <c r="BG221" s="224"/>
      <c r="BH221" s="224"/>
      <c r="BI221" s="224"/>
      <c r="BJ221" s="224"/>
      <c r="BK221" s="224"/>
      <c r="BL221" s="224"/>
      <c r="BM221" s="224"/>
      <c r="BN221" s="224"/>
      <c r="BO221" s="224"/>
      <c r="BP221" s="224"/>
      <c r="BQ221" s="224"/>
      <c r="BR221" s="224"/>
      <c r="BS221" s="224"/>
      <c r="BT221" s="224"/>
      <c r="BU221" s="224"/>
      <c r="BV221" s="224"/>
    </row>
    <row r="222" spans="2:74" x14ac:dyDescent="0.2">
      <c r="B222" s="210"/>
      <c r="C222" s="203"/>
      <c r="D222" s="203"/>
      <c r="E222" s="261"/>
      <c r="F222" s="224"/>
      <c r="G222" s="224"/>
      <c r="H222" s="224"/>
      <c r="I222" s="224"/>
      <c r="J222" s="224"/>
      <c r="K222" s="224"/>
      <c r="L222" s="224"/>
      <c r="M222" s="224"/>
      <c r="N222" s="224"/>
      <c r="O222" s="224"/>
      <c r="P222" s="224"/>
      <c r="Q222" s="224"/>
      <c r="R222" s="224"/>
      <c r="S222" s="224"/>
      <c r="T222" s="224"/>
      <c r="U222" s="224"/>
      <c r="V222" s="224"/>
      <c r="W222" s="224"/>
      <c r="X222" s="224"/>
      <c r="Y222" s="224"/>
      <c r="Z222" s="224"/>
      <c r="AA222" s="224"/>
      <c r="AB222" s="224"/>
      <c r="AC222" s="224"/>
      <c r="AD222" s="224"/>
      <c r="AE222" s="224"/>
      <c r="AF222" s="224"/>
      <c r="AG222" s="224"/>
      <c r="AH222" s="224"/>
      <c r="AI222" s="224"/>
      <c r="AJ222" s="224"/>
      <c r="AK222" s="224"/>
      <c r="AL222" s="224"/>
      <c r="AM222" s="224"/>
      <c r="AN222" s="224"/>
      <c r="AO222" s="224"/>
      <c r="AP222" s="224"/>
      <c r="AQ222" s="224"/>
      <c r="AR222" s="224"/>
      <c r="AS222" s="224"/>
      <c r="AT222" s="224"/>
      <c r="AU222" s="224"/>
      <c r="AV222" s="224"/>
      <c r="AW222" s="224"/>
      <c r="AX222" s="224"/>
      <c r="AY222" s="224"/>
      <c r="AZ222" s="224"/>
      <c r="BA222" s="224"/>
      <c r="BB222" s="224"/>
      <c r="BC222" s="224"/>
      <c r="BD222" s="224"/>
      <c r="BE222" s="224"/>
      <c r="BF222" s="224"/>
      <c r="BG222" s="224"/>
      <c r="BH222" s="224"/>
      <c r="BI222" s="224"/>
      <c r="BJ222" s="224"/>
      <c r="BK222" s="224"/>
      <c r="BL222" s="224"/>
      <c r="BM222" s="224"/>
      <c r="BN222" s="224"/>
      <c r="BO222" s="224"/>
      <c r="BP222" s="224"/>
      <c r="BQ222" s="224"/>
      <c r="BR222" s="224"/>
      <c r="BS222" s="224"/>
      <c r="BT222" s="224"/>
      <c r="BU222" s="224"/>
      <c r="BV222" s="224"/>
    </row>
    <row r="223" spans="2:74" x14ac:dyDescent="0.2">
      <c r="B223" s="210"/>
      <c r="C223" s="203"/>
      <c r="D223" s="203"/>
      <c r="E223" s="261"/>
      <c r="F223" s="224"/>
      <c r="G223" s="224"/>
      <c r="H223" s="224"/>
      <c r="I223" s="224"/>
      <c r="J223" s="224"/>
      <c r="K223" s="224"/>
      <c r="L223" s="224"/>
      <c r="M223" s="224"/>
      <c r="N223" s="224"/>
      <c r="O223" s="224"/>
      <c r="P223" s="224"/>
      <c r="Q223" s="224"/>
      <c r="R223" s="224"/>
      <c r="S223" s="224"/>
      <c r="T223" s="224"/>
      <c r="U223" s="224"/>
      <c r="V223" s="224"/>
      <c r="W223" s="224"/>
      <c r="X223" s="224"/>
      <c r="Y223" s="224"/>
      <c r="Z223" s="224"/>
      <c r="AA223" s="224"/>
      <c r="AB223" s="224"/>
      <c r="AC223" s="224"/>
      <c r="AD223" s="224"/>
      <c r="AE223" s="224"/>
      <c r="AF223" s="224"/>
      <c r="AG223" s="224"/>
      <c r="AH223" s="224"/>
      <c r="AI223" s="224"/>
      <c r="AJ223" s="224"/>
      <c r="AK223" s="224"/>
      <c r="AL223" s="224"/>
      <c r="AM223" s="224"/>
      <c r="AN223" s="224"/>
      <c r="AO223" s="224"/>
      <c r="AP223" s="224"/>
      <c r="AQ223" s="224"/>
      <c r="AR223" s="224"/>
      <c r="AS223" s="224"/>
      <c r="AT223" s="224"/>
      <c r="AU223" s="224"/>
      <c r="AV223" s="224"/>
      <c r="AW223" s="224"/>
      <c r="AX223" s="224"/>
      <c r="AY223" s="224"/>
      <c r="AZ223" s="224"/>
      <c r="BA223" s="224"/>
      <c r="BB223" s="224"/>
      <c r="BC223" s="224"/>
      <c r="BD223" s="224"/>
      <c r="BE223" s="224"/>
      <c r="BF223" s="224"/>
      <c r="BG223" s="224"/>
      <c r="BH223" s="224"/>
      <c r="BI223" s="224"/>
      <c r="BJ223" s="224"/>
      <c r="BK223" s="224"/>
      <c r="BL223" s="224"/>
      <c r="BM223" s="224"/>
      <c r="BN223" s="224"/>
      <c r="BO223" s="224"/>
      <c r="BP223" s="224"/>
      <c r="BQ223" s="224"/>
      <c r="BR223" s="224"/>
      <c r="BS223" s="224"/>
      <c r="BT223" s="224"/>
      <c r="BU223" s="224"/>
      <c r="BV223" s="224"/>
    </row>
    <row r="224" spans="2:74" x14ac:dyDescent="0.2">
      <c r="B224" s="210"/>
      <c r="C224" s="203"/>
      <c r="D224" s="203"/>
      <c r="E224" s="261"/>
      <c r="F224" s="224"/>
      <c r="G224" s="224"/>
      <c r="H224" s="224"/>
      <c r="I224" s="224"/>
      <c r="J224" s="224"/>
      <c r="K224" s="224"/>
      <c r="L224" s="224"/>
      <c r="M224" s="224"/>
      <c r="N224" s="224"/>
      <c r="O224" s="224"/>
      <c r="P224" s="224"/>
      <c r="Q224" s="224"/>
      <c r="R224" s="224"/>
      <c r="S224" s="224"/>
      <c r="T224" s="224"/>
      <c r="U224" s="224"/>
      <c r="V224" s="224"/>
      <c r="W224" s="224"/>
      <c r="X224" s="224"/>
      <c r="Y224" s="224"/>
      <c r="Z224" s="224"/>
      <c r="AA224" s="224"/>
      <c r="AB224" s="224"/>
      <c r="AC224" s="224"/>
      <c r="AD224" s="224"/>
      <c r="AE224" s="224"/>
      <c r="AF224" s="224"/>
      <c r="AG224" s="224"/>
      <c r="AH224" s="224"/>
      <c r="AI224" s="224"/>
      <c r="AJ224" s="224"/>
      <c r="AK224" s="224"/>
      <c r="AL224" s="224"/>
      <c r="AM224" s="224"/>
      <c r="AN224" s="224"/>
      <c r="AO224" s="224"/>
      <c r="AP224" s="224"/>
      <c r="AQ224" s="224"/>
      <c r="AR224" s="224"/>
      <c r="AS224" s="224"/>
      <c r="AT224" s="224"/>
      <c r="AU224" s="224"/>
      <c r="AV224" s="224"/>
      <c r="AW224" s="224"/>
      <c r="AX224" s="224"/>
      <c r="AY224" s="224"/>
      <c r="AZ224" s="224"/>
      <c r="BA224" s="224"/>
      <c r="BB224" s="224"/>
      <c r="BC224" s="224"/>
      <c r="BD224" s="224"/>
      <c r="BE224" s="224"/>
      <c r="BF224" s="224"/>
      <c r="BG224" s="224"/>
      <c r="BH224" s="224"/>
      <c r="BI224" s="224"/>
      <c r="BJ224" s="224"/>
      <c r="BK224" s="224"/>
      <c r="BL224" s="224"/>
      <c r="BM224" s="224"/>
      <c r="BN224" s="224"/>
      <c r="BO224" s="224"/>
      <c r="BP224" s="224"/>
      <c r="BQ224" s="224"/>
      <c r="BR224" s="224"/>
      <c r="BS224" s="224"/>
      <c r="BT224" s="224"/>
      <c r="BU224" s="224"/>
      <c r="BV224" s="224"/>
    </row>
    <row r="225" spans="2:74" x14ac:dyDescent="0.2">
      <c r="B225" s="210"/>
      <c r="C225" s="203"/>
      <c r="D225" s="203"/>
      <c r="E225" s="261"/>
      <c r="F225" s="224"/>
      <c r="G225" s="224"/>
      <c r="H225" s="224"/>
      <c r="I225" s="224"/>
      <c r="J225" s="224"/>
      <c r="K225" s="224"/>
      <c r="L225" s="224"/>
      <c r="M225" s="224"/>
      <c r="N225" s="224"/>
      <c r="O225" s="224"/>
      <c r="P225" s="224"/>
      <c r="Q225" s="224"/>
      <c r="R225" s="224"/>
      <c r="S225" s="224"/>
      <c r="T225" s="224"/>
      <c r="U225" s="224"/>
      <c r="V225" s="224"/>
      <c r="W225" s="224"/>
      <c r="X225" s="224"/>
      <c r="Y225" s="224"/>
      <c r="Z225" s="224"/>
      <c r="AA225" s="224"/>
      <c r="AB225" s="224"/>
      <c r="AC225" s="224"/>
      <c r="AD225" s="224"/>
      <c r="AE225" s="224"/>
      <c r="AF225" s="224"/>
      <c r="AG225" s="224"/>
      <c r="AH225" s="224"/>
      <c r="AI225" s="224"/>
      <c r="AJ225" s="224"/>
      <c r="AK225" s="224"/>
      <c r="AL225" s="224"/>
      <c r="AM225" s="224"/>
      <c r="AN225" s="224"/>
      <c r="AO225" s="224"/>
      <c r="AP225" s="224"/>
      <c r="AQ225" s="224"/>
      <c r="AR225" s="224"/>
      <c r="AS225" s="224"/>
      <c r="AT225" s="224"/>
      <c r="AU225" s="224"/>
      <c r="AV225" s="224"/>
      <c r="AW225" s="224"/>
      <c r="AX225" s="224"/>
      <c r="AY225" s="224"/>
      <c r="AZ225" s="224"/>
      <c r="BA225" s="224"/>
      <c r="BB225" s="224"/>
      <c r="BC225" s="224"/>
      <c r="BD225" s="224"/>
      <c r="BE225" s="224"/>
      <c r="BF225" s="224"/>
      <c r="BG225" s="224"/>
      <c r="BH225" s="224"/>
      <c r="BI225" s="224"/>
      <c r="BJ225" s="224"/>
      <c r="BK225" s="224"/>
      <c r="BL225" s="224"/>
      <c r="BM225" s="224"/>
      <c r="BN225" s="224"/>
      <c r="BO225" s="224"/>
      <c r="BP225" s="224"/>
      <c r="BQ225" s="224"/>
      <c r="BR225" s="224"/>
      <c r="BS225" s="224"/>
      <c r="BT225" s="224"/>
      <c r="BU225" s="224"/>
      <c r="BV225" s="224"/>
    </row>
    <row r="226" spans="2:74" x14ac:dyDescent="0.2">
      <c r="B226" s="210"/>
      <c r="C226" s="203"/>
      <c r="D226" s="203"/>
      <c r="E226" s="261"/>
      <c r="F226" s="224"/>
      <c r="G226" s="224"/>
      <c r="H226" s="224"/>
      <c r="I226" s="224"/>
      <c r="J226" s="224"/>
      <c r="K226" s="224"/>
      <c r="L226" s="224"/>
      <c r="M226" s="224"/>
      <c r="N226" s="224"/>
      <c r="O226" s="224"/>
      <c r="P226" s="224"/>
      <c r="Q226" s="224"/>
      <c r="R226" s="224"/>
      <c r="S226" s="224"/>
      <c r="T226" s="224"/>
      <c r="U226" s="224"/>
      <c r="V226" s="224"/>
      <c r="W226" s="224"/>
      <c r="X226" s="224"/>
      <c r="Y226" s="224"/>
      <c r="Z226" s="224"/>
      <c r="AA226" s="224"/>
      <c r="AB226" s="224"/>
      <c r="AC226" s="224"/>
      <c r="AD226" s="224"/>
      <c r="AE226" s="224"/>
      <c r="AF226" s="224"/>
      <c r="AG226" s="224"/>
      <c r="AH226" s="224"/>
      <c r="AI226" s="224"/>
      <c r="AJ226" s="224"/>
      <c r="AK226" s="224"/>
      <c r="AL226" s="224"/>
      <c r="AM226" s="224"/>
      <c r="AN226" s="224"/>
      <c r="AO226" s="224"/>
      <c r="AP226" s="224"/>
      <c r="AQ226" s="224"/>
      <c r="AR226" s="224"/>
      <c r="AS226" s="224"/>
      <c r="AT226" s="224"/>
      <c r="AU226" s="224"/>
      <c r="AV226" s="224"/>
      <c r="AW226" s="224"/>
      <c r="AX226" s="224"/>
      <c r="AY226" s="224"/>
      <c r="AZ226" s="224"/>
      <c r="BA226" s="224"/>
      <c r="BB226" s="224"/>
      <c r="BC226" s="224"/>
      <c r="BD226" s="224"/>
      <c r="BE226" s="224"/>
      <c r="BF226" s="224"/>
      <c r="BG226" s="224"/>
      <c r="BH226" s="224"/>
      <c r="BI226" s="224"/>
      <c r="BJ226" s="224"/>
      <c r="BK226" s="224"/>
      <c r="BL226" s="224"/>
      <c r="BM226" s="224"/>
      <c r="BN226" s="224"/>
      <c r="BO226" s="224"/>
      <c r="BP226" s="224"/>
      <c r="BQ226" s="224"/>
      <c r="BR226" s="224"/>
      <c r="BS226" s="224"/>
      <c r="BT226" s="224"/>
      <c r="BU226" s="224"/>
      <c r="BV226" s="224"/>
    </row>
    <row r="227" spans="2:74" x14ac:dyDescent="0.2">
      <c r="B227" s="210"/>
      <c r="C227" s="203"/>
      <c r="D227" s="203"/>
      <c r="E227" s="261"/>
      <c r="F227" s="224"/>
      <c r="G227" s="224"/>
      <c r="H227" s="224"/>
      <c r="I227" s="224"/>
      <c r="J227" s="224"/>
      <c r="K227" s="224"/>
      <c r="L227" s="224"/>
      <c r="M227" s="224"/>
      <c r="N227" s="224"/>
      <c r="O227" s="224"/>
      <c r="P227" s="224"/>
      <c r="Q227" s="224"/>
      <c r="R227" s="224"/>
      <c r="S227" s="224"/>
      <c r="T227" s="224"/>
      <c r="U227" s="224"/>
      <c r="V227" s="224"/>
      <c r="W227" s="224"/>
      <c r="X227" s="224"/>
      <c r="Y227" s="224"/>
      <c r="Z227" s="224"/>
      <c r="AA227" s="224"/>
      <c r="AB227" s="224"/>
      <c r="AC227" s="224"/>
      <c r="AD227" s="224"/>
      <c r="AE227" s="224"/>
      <c r="AF227" s="224"/>
      <c r="AG227" s="224"/>
      <c r="AH227" s="224"/>
      <c r="AI227" s="224"/>
      <c r="AJ227" s="224"/>
      <c r="AK227" s="224"/>
      <c r="AL227" s="224"/>
      <c r="AM227" s="224"/>
      <c r="AN227" s="224"/>
      <c r="AO227" s="224"/>
      <c r="AP227" s="224"/>
      <c r="AQ227" s="224"/>
      <c r="AR227" s="224"/>
      <c r="AS227" s="224"/>
      <c r="AT227" s="224"/>
      <c r="AU227" s="224"/>
      <c r="AV227" s="224"/>
      <c r="AW227" s="224"/>
      <c r="AX227" s="224"/>
      <c r="AY227" s="224"/>
      <c r="AZ227" s="224"/>
      <c r="BA227" s="224"/>
      <c r="BB227" s="224"/>
      <c r="BC227" s="224"/>
      <c r="BD227" s="224"/>
      <c r="BE227" s="224"/>
      <c r="BF227" s="224"/>
      <c r="BG227" s="224"/>
      <c r="BH227" s="224"/>
      <c r="BI227" s="224"/>
      <c r="BJ227" s="224"/>
      <c r="BK227" s="224"/>
      <c r="BL227" s="224"/>
      <c r="BM227" s="224"/>
      <c r="BN227" s="224"/>
      <c r="BO227" s="224"/>
      <c r="BP227" s="224"/>
      <c r="BQ227" s="224"/>
      <c r="BR227" s="224"/>
      <c r="BS227" s="224"/>
      <c r="BT227" s="224"/>
      <c r="BU227" s="224"/>
      <c r="BV227" s="224"/>
    </row>
    <row r="228" spans="2:74" x14ac:dyDescent="0.2">
      <c r="B228" s="210"/>
      <c r="C228" s="203"/>
      <c r="D228" s="203"/>
      <c r="E228" s="261"/>
      <c r="F228" s="224"/>
      <c r="G228" s="224"/>
      <c r="H228" s="224"/>
      <c r="I228" s="224"/>
      <c r="J228" s="224"/>
      <c r="K228" s="224"/>
      <c r="L228" s="224"/>
      <c r="M228" s="224"/>
      <c r="N228" s="224"/>
      <c r="O228" s="224"/>
      <c r="P228" s="224"/>
      <c r="Q228" s="224"/>
      <c r="R228" s="224"/>
      <c r="S228" s="224"/>
      <c r="T228" s="224"/>
      <c r="U228" s="224"/>
      <c r="V228" s="224"/>
      <c r="W228" s="224"/>
      <c r="X228" s="224"/>
      <c r="Y228" s="224"/>
      <c r="Z228" s="224"/>
      <c r="AA228" s="224"/>
      <c r="AB228" s="224"/>
      <c r="AC228" s="224"/>
      <c r="AD228" s="224"/>
      <c r="AE228" s="224"/>
      <c r="AF228" s="224"/>
      <c r="AG228" s="224"/>
      <c r="AH228" s="224"/>
      <c r="AI228" s="224"/>
      <c r="AJ228" s="224"/>
      <c r="AK228" s="224"/>
      <c r="AL228" s="224"/>
      <c r="AM228" s="224"/>
      <c r="AN228" s="224"/>
      <c r="AO228" s="224"/>
      <c r="AP228" s="224"/>
      <c r="AQ228" s="224"/>
      <c r="AR228" s="224"/>
      <c r="AS228" s="224"/>
      <c r="AT228" s="224"/>
      <c r="AU228" s="224"/>
      <c r="AV228" s="224"/>
      <c r="AW228" s="224"/>
      <c r="AX228" s="224"/>
      <c r="AY228" s="224"/>
      <c r="AZ228" s="224"/>
      <c r="BA228" s="224"/>
      <c r="BB228" s="224"/>
      <c r="BC228" s="224"/>
      <c r="BD228" s="224"/>
      <c r="BE228" s="224"/>
      <c r="BF228" s="224"/>
      <c r="BG228" s="224"/>
      <c r="BH228" s="224"/>
      <c r="BI228" s="224"/>
      <c r="BJ228" s="224"/>
      <c r="BK228" s="224"/>
      <c r="BL228" s="224"/>
      <c r="BM228" s="224"/>
      <c r="BN228" s="224"/>
      <c r="BO228" s="224"/>
      <c r="BP228" s="224"/>
      <c r="BQ228" s="224"/>
      <c r="BR228" s="224"/>
      <c r="BS228" s="224"/>
      <c r="BT228" s="224"/>
      <c r="BU228" s="224"/>
      <c r="BV228" s="224"/>
    </row>
    <row r="229" spans="2:74" x14ac:dyDescent="0.2">
      <c r="B229" s="210"/>
      <c r="C229" s="203"/>
      <c r="D229" s="203"/>
      <c r="E229" s="261"/>
      <c r="F229" s="224"/>
      <c r="G229" s="224"/>
      <c r="H229" s="224"/>
      <c r="I229" s="224"/>
      <c r="J229" s="224"/>
      <c r="K229" s="224"/>
      <c r="L229" s="224"/>
      <c r="M229" s="224"/>
      <c r="N229" s="224"/>
      <c r="O229" s="224"/>
      <c r="P229" s="224"/>
      <c r="Q229" s="224"/>
      <c r="R229" s="224"/>
      <c r="S229" s="224"/>
      <c r="T229" s="224"/>
      <c r="U229" s="224"/>
      <c r="V229" s="224"/>
      <c r="W229" s="224"/>
      <c r="X229" s="224"/>
      <c r="Y229" s="224"/>
      <c r="Z229" s="224"/>
      <c r="AA229" s="224"/>
      <c r="AB229" s="224"/>
      <c r="AC229" s="224"/>
      <c r="AD229" s="224"/>
      <c r="AE229" s="224"/>
      <c r="AF229" s="224"/>
      <c r="AG229" s="224"/>
      <c r="AH229" s="224"/>
      <c r="AI229" s="224"/>
      <c r="AJ229" s="224"/>
      <c r="AK229" s="224"/>
      <c r="AL229" s="224"/>
      <c r="AM229" s="224"/>
      <c r="AN229" s="224"/>
      <c r="AO229" s="224"/>
      <c r="AP229" s="224"/>
      <c r="AQ229" s="224"/>
      <c r="AR229" s="224"/>
      <c r="AS229" s="224"/>
      <c r="AT229" s="224"/>
      <c r="AU229" s="224"/>
      <c r="AV229" s="224"/>
      <c r="AW229" s="224"/>
      <c r="AX229" s="224"/>
      <c r="AY229" s="224"/>
      <c r="AZ229" s="224"/>
      <c r="BA229" s="224"/>
      <c r="BB229" s="224"/>
      <c r="BC229" s="224"/>
      <c r="BD229" s="224"/>
      <c r="BE229" s="224"/>
      <c r="BF229" s="224"/>
      <c r="BG229" s="224"/>
      <c r="BH229" s="224"/>
      <c r="BI229" s="224"/>
      <c r="BJ229" s="224"/>
      <c r="BK229" s="224"/>
      <c r="BL229" s="224"/>
      <c r="BM229" s="224"/>
      <c r="BN229" s="224"/>
      <c r="BO229" s="224"/>
      <c r="BP229" s="224"/>
      <c r="BQ229" s="224"/>
      <c r="BR229" s="224"/>
      <c r="BS229" s="224"/>
      <c r="BT229" s="224"/>
      <c r="BU229" s="224"/>
      <c r="BV229" s="224"/>
    </row>
    <row r="230" spans="2:74" x14ac:dyDescent="0.2">
      <c r="B230" s="210"/>
      <c r="C230" s="203"/>
      <c r="D230" s="203"/>
      <c r="E230" s="261"/>
      <c r="F230" s="224"/>
      <c r="G230" s="224"/>
      <c r="H230" s="224"/>
      <c r="I230" s="224"/>
      <c r="J230" s="224"/>
      <c r="K230" s="224"/>
      <c r="L230" s="224"/>
      <c r="M230" s="224"/>
      <c r="N230" s="224"/>
      <c r="O230" s="224"/>
      <c r="P230" s="224"/>
      <c r="Q230" s="224"/>
      <c r="R230" s="224"/>
      <c r="S230" s="224"/>
      <c r="T230" s="224"/>
      <c r="U230" s="224"/>
      <c r="V230" s="224"/>
      <c r="W230" s="224"/>
      <c r="X230" s="224"/>
      <c r="Y230" s="224"/>
      <c r="Z230" s="224"/>
      <c r="AA230" s="224"/>
      <c r="AB230" s="224"/>
      <c r="AC230" s="224"/>
      <c r="AD230" s="224"/>
      <c r="AE230" s="224"/>
      <c r="AF230" s="224"/>
      <c r="AG230" s="224"/>
      <c r="AH230" s="224"/>
      <c r="AI230" s="224"/>
      <c r="AJ230" s="224"/>
      <c r="AK230" s="224"/>
      <c r="AL230" s="224"/>
      <c r="AM230" s="224"/>
      <c r="AN230" s="224"/>
      <c r="AO230" s="224"/>
      <c r="AP230" s="224"/>
      <c r="AQ230" s="224"/>
      <c r="AR230" s="224"/>
      <c r="AS230" s="224"/>
      <c r="AT230" s="224"/>
      <c r="AU230" s="224"/>
      <c r="AV230" s="224"/>
      <c r="AW230" s="224"/>
      <c r="AX230" s="224"/>
      <c r="AY230" s="224"/>
      <c r="AZ230" s="224"/>
      <c r="BA230" s="224"/>
      <c r="BB230" s="224"/>
      <c r="BC230" s="224"/>
      <c r="BD230" s="224"/>
      <c r="BE230" s="224"/>
      <c r="BF230" s="224"/>
      <c r="BG230" s="224"/>
      <c r="BH230" s="224"/>
      <c r="BI230" s="224"/>
      <c r="BJ230" s="224"/>
      <c r="BK230" s="224"/>
      <c r="BL230" s="224"/>
      <c r="BM230" s="224"/>
      <c r="BN230" s="224"/>
      <c r="BO230" s="224"/>
      <c r="BP230" s="224"/>
      <c r="BQ230" s="224"/>
      <c r="BR230" s="224"/>
      <c r="BS230" s="224"/>
      <c r="BT230" s="224"/>
      <c r="BU230" s="224"/>
      <c r="BV230" s="224"/>
    </row>
    <row r="231" spans="2:74" x14ac:dyDescent="0.2">
      <c r="B231" s="210"/>
      <c r="C231" s="203"/>
      <c r="D231" s="203"/>
      <c r="E231" s="261"/>
      <c r="F231" s="224"/>
      <c r="G231" s="224"/>
      <c r="H231" s="224"/>
      <c r="I231" s="224"/>
      <c r="J231" s="224"/>
      <c r="K231" s="224"/>
      <c r="L231" s="224"/>
      <c r="M231" s="224"/>
      <c r="N231" s="224"/>
      <c r="O231" s="224"/>
      <c r="P231" s="224"/>
      <c r="Q231" s="224"/>
      <c r="R231" s="224"/>
      <c r="S231" s="224"/>
      <c r="T231" s="224"/>
      <c r="U231" s="224"/>
      <c r="V231" s="224"/>
      <c r="W231" s="224"/>
      <c r="X231" s="224"/>
      <c r="Y231" s="224"/>
      <c r="Z231" s="224"/>
      <c r="AA231" s="224"/>
      <c r="AB231" s="224"/>
      <c r="AC231" s="224"/>
      <c r="AD231" s="224"/>
      <c r="AE231" s="224"/>
      <c r="AF231" s="224"/>
      <c r="AG231" s="224"/>
      <c r="AH231" s="224"/>
      <c r="AI231" s="224"/>
      <c r="AJ231" s="224"/>
      <c r="AK231" s="224"/>
      <c r="AL231" s="224"/>
      <c r="AM231" s="224"/>
      <c r="AN231" s="224"/>
      <c r="AO231" s="224"/>
      <c r="AP231" s="224"/>
      <c r="AQ231" s="224"/>
      <c r="AR231" s="224"/>
      <c r="AS231" s="224"/>
      <c r="AT231" s="224"/>
      <c r="AU231" s="224"/>
      <c r="AV231" s="224"/>
      <c r="AW231" s="224"/>
      <c r="AX231" s="224"/>
      <c r="AY231" s="224"/>
      <c r="AZ231" s="224"/>
      <c r="BA231" s="224"/>
      <c r="BB231" s="224"/>
      <c r="BC231" s="224"/>
      <c r="BD231" s="224"/>
      <c r="BE231" s="224"/>
      <c r="BF231" s="224"/>
      <c r="BG231" s="224"/>
      <c r="BH231" s="224"/>
      <c r="BI231" s="224"/>
      <c r="BJ231" s="224"/>
      <c r="BK231" s="224"/>
      <c r="BL231" s="224"/>
      <c r="BM231" s="224"/>
      <c r="BN231" s="224"/>
      <c r="BO231" s="224"/>
      <c r="BP231" s="224"/>
      <c r="BQ231" s="224"/>
      <c r="BR231" s="224"/>
      <c r="BS231" s="224"/>
      <c r="BT231" s="224"/>
      <c r="BU231" s="224"/>
      <c r="BV231" s="224"/>
    </row>
    <row r="232" spans="2:74" x14ac:dyDescent="0.2">
      <c r="B232" s="210"/>
      <c r="C232" s="203"/>
      <c r="D232" s="203"/>
      <c r="E232" s="261"/>
      <c r="F232" s="224"/>
      <c r="G232" s="224"/>
      <c r="H232" s="224"/>
      <c r="I232" s="224"/>
      <c r="J232" s="224"/>
      <c r="K232" s="224"/>
      <c r="L232" s="224"/>
      <c r="M232" s="224"/>
      <c r="N232" s="224"/>
      <c r="O232" s="224"/>
      <c r="P232" s="224"/>
      <c r="Q232" s="224"/>
      <c r="R232" s="224"/>
      <c r="S232" s="224"/>
      <c r="T232" s="224"/>
      <c r="U232" s="224"/>
      <c r="V232" s="224"/>
      <c r="W232" s="224"/>
      <c r="X232" s="224"/>
      <c r="Y232" s="224"/>
      <c r="Z232" s="224"/>
      <c r="AA232" s="224"/>
      <c r="AB232" s="224"/>
      <c r="AC232" s="224"/>
      <c r="AD232" s="224"/>
      <c r="AE232" s="224"/>
      <c r="AF232" s="224"/>
      <c r="AG232" s="224"/>
      <c r="AH232" s="224"/>
      <c r="AI232" s="224"/>
      <c r="AJ232" s="224"/>
      <c r="AK232" s="224"/>
      <c r="AL232" s="224"/>
      <c r="AM232" s="224"/>
      <c r="AN232" s="224"/>
      <c r="AO232" s="224"/>
      <c r="AP232" s="224"/>
      <c r="AQ232" s="224"/>
      <c r="AR232" s="224"/>
      <c r="AS232" s="224"/>
      <c r="AT232" s="224"/>
      <c r="AU232" s="224"/>
      <c r="AV232" s="224"/>
      <c r="AW232" s="224"/>
      <c r="AX232" s="224"/>
      <c r="AY232" s="224"/>
      <c r="AZ232" s="224"/>
      <c r="BA232" s="224"/>
      <c r="BB232" s="224"/>
      <c r="BC232" s="224"/>
      <c r="BD232" s="224"/>
      <c r="BE232" s="224"/>
      <c r="BF232" s="224"/>
      <c r="BG232" s="224"/>
      <c r="BH232" s="224"/>
      <c r="BI232" s="224"/>
      <c r="BJ232" s="224"/>
      <c r="BK232" s="224"/>
      <c r="BL232" s="224"/>
      <c r="BM232" s="224"/>
      <c r="BN232" s="224"/>
      <c r="BO232" s="224"/>
      <c r="BP232" s="224"/>
      <c r="BQ232" s="224"/>
      <c r="BR232" s="224"/>
      <c r="BS232" s="224"/>
      <c r="BT232" s="224"/>
      <c r="BU232" s="224"/>
      <c r="BV232" s="224"/>
    </row>
    <row r="233" spans="2:74" x14ac:dyDescent="0.2">
      <c r="B233" s="210"/>
      <c r="C233" s="203"/>
      <c r="D233" s="203"/>
      <c r="E233" s="261"/>
      <c r="F233" s="224"/>
      <c r="G233" s="224"/>
      <c r="H233" s="224"/>
      <c r="I233" s="224"/>
      <c r="J233" s="224"/>
      <c r="K233" s="224"/>
      <c r="L233" s="224"/>
      <c r="M233" s="224"/>
      <c r="N233" s="224"/>
      <c r="O233" s="224"/>
      <c r="P233" s="224"/>
      <c r="Q233" s="224"/>
      <c r="R233" s="224"/>
      <c r="S233" s="224"/>
      <c r="T233" s="224"/>
      <c r="U233" s="224"/>
      <c r="V233" s="224"/>
      <c r="W233" s="224"/>
      <c r="X233" s="224"/>
      <c r="Y233" s="224"/>
      <c r="Z233" s="224"/>
      <c r="AA233" s="224"/>
      <c r="AB233" s="224"/>
      <c r="AC233" s="224"/>
      <c r="AD233" s="224"/>
      <c r="AE233" s="224"/>
      <c r="AF233" s="224"/>
      <c r="AG233" s="224"/>
      <c r="AH233" s="224"/>
      <c r="AI233" s="224"/>
      <c r="AJ233" s="224"/>
      <c r="AK233" s="224"/>
      <c r="AL233" s="224"/>
      <c r="AM233" s="224"/>
      <c r="AN233" s="224"/>
      <c r="AO233" s="224"/>
      <c r="AP233" s="224"/>
      <c r="AQ233" s="224"/>
      <c r="AR233" s="224"/>
      <c r="AS233" s="224"/>
      <c r="AT233" s="224"/>
      <c r="AU233" s="224"/>
      <c r="AV233" s="224"/>
      <c r="AW233" s="224"/>
      <c r="AX233" s="224"/>
      <c r="AY233" s="224"/>
      <c r="AZ233" s="224"/>
      <c r="BA233" s="224"/>
      <c r="BB233" s="224"/>
      <c r="BC233" s="224"/>
      <c r="BD233" s="224"/>
      <c r="BE233" s="224"/>
      <c r="BF233" s="224"/>
      <c r="BG233" s="224"/>
      <c r="BH233" s="224"/>
      <c r="BI233" s="224"/>
      <c r="BJ233" s="224"/>
      <c r="BK233" s="224"/>
      <c r="BL233" s="224"/>
      <c r="BM233" s="224"/>
      <c r="BN233" s="224"/>
      <c r="BO233" s="224"/>
      <c r="BP233" s="224"/>
      <c r="BQ233" s="224"/>
      <c r="BR233" s="224"/>
      <c r="BS233" s="224"/>
      <c r="BT233" s="224"/>
      <c r="BU233" s="224"/>
      <c r="BV233" s="224"/>
    </row>
    <row r="234" spans="2:74" x14ac:dyDescent="0.2">
      <c r="B234" s="210"/>
      <c r="C234" s="203"/>
      <c r="D234" s="203"/>
      <c r="E234" s="261"/>
      <c r="F234" s="224"/>
      <c r="G234" s="224"/>
      <c r="H234" s="224"/>
      <c r="I234" s="224"/>
      <c r="J234" s="224"/>
      <c r="K234" s="224"/>
      <c r="L234" s="224"/>
      <c r="M234" s="224"/>
      <c r="N234" s="224"/>
      <c r="O234" s="224"/>
      <c r="P234" s="224"/>
      <c r="Q234" s="224"/>
      <c r="R234" s="224"/>
      <c r="S234" s="224"/>
      <c r="T234" s="224"/>
      <c r="U234" s="224"/>
      <c r="V234" s="224"/>
      <c r="W234" s="224"/>
      <c r="X234" s="224"/>
      <c r="Y234" s="224"/>
      <c r="Z234" s="224"/>
      <c r="AA234" s="224"/>
      <c r="AB234" s="224"/>
      <c r="AC234" s="224"/>
      <c r="AD234" s="224"/>
      <c r="AE234" s="224"/>
      <c r="AF234" s="224"/>
      <c r="AG234" s="224"/>
      <c r="AH234" s="224"/>
      <c r="AI234" s="224"/>
      <c r="AJ234" s="224"/>
      <c r="AK234" s="224"/>
      <c r="AL234" s="224"/>
      <c r="AM234" s="224"/>
      <c r="AN234" s="224"/>
      <c r="AO234" s="224"/>
      <c r="AP234" s="224"/>
      <c r="AQ234" s="224"/>
      <c r="AR234" s="224"/>
      <c r="AS234" s="224"/>
      <c r="AT234" s="224"/>
      <c r="AU234" s="224"/>
      <c r="AV234" s="224"/>
      <c r="AW234" s="224"/>
      <c r="AX234" s="224"/>
      <c r="AY234" s="224"/>
      <c r="AZ234" s="224"/>
      <c r="BA234" s="224"/>
      <c r="BB234" s="224"/>
      <c r="BC234" s="224"/>
      <c r="BD234" s="224"/>
      <c r="BE234" s="224"/>
      <c r="BF234" s="224"/>
      <c r="BG234" s="224"/>
      <c r="BH234" s="224"/>
      <c r="BI234" s="224"/>
      <c r="BJ234" s="224"/>
      <c r="BK234" s="224"/>
      <c r="BL234" s="224"/>
      <c r="BM234" s="224"/>
      <c r="BN234" s="224"/>
      <c r="BO234" s="224"/>
      <c r="BP234" s="224"/>
      <c r="BQ234" s="224"/>
      <c r="BR234" s="224"/>
      <c r="BS234" s="224"/>
      <c r="BT234" s="224"/>
      <c r="BU234" s="224"/>
      <c r="BV234" s="224"/>
    </row>
    <row r="235" spans="2:74" x14ac:dyDescent="0.2">
      <c r="B235" s="210"/>
      <c r="C235" s="203"/>
      <c r="D235" s="203"/>
      <c r="E235" s="261"/>
      <c r="F235" s="224"/>
      <c r="G235" s="224"/>
      <c r="H235" s="224"/>
      <c r="I235" s="224"/>
      <c r="J235" s="224"/>
      <c r="K235" s="224"/>
      <c r="L235" s="224"/>
      <c r="M235" s="224"/>
      <c r="N235" s="224"/>
      <c r="O235" s="224"/>
      <c r="P235" s="224"/>
      <c r="Q235" s="224"/>
      <c r="R235" s="224"/>
      <c r="S235" s="224"/>
      <c r="T235" s="224"/>
      <c r="U235" s="224"/>
      <c r="V235" s="224"/>
      <c r="W235" s="224"/>
      <c r="X235" s="224"/>
      <c r="Y235" s="224"/>
      <c r="Z235" s="224"/>
      <c r="AA235" s="224"/>
      <c r="AB235" s="224"/>
      <c r="AC235" s="224"/>
      <c r="AD235" s="224"/>
      <c r="AE235" s="224"/>
      <c r="AF235" s="224"/>
      <c r="AG235" s="224"/>
      <c r="AH235" s="224"/>
      <c r="AI235" s="224"/>
      <c r="AJ235" s="224"/>
      <c r="AK235" s="224"/>
      <c r="AL235" s="224"/>
      <c r="AM235" s="224"/>
      <c r="AN235" s="224"/>
      <c r="AO235" s="224"/>
      <c r="AP235" s="224"/>
      <c r="AQ235" s="224"/>
      <c r="AR235" s="224"/>
      <c r="AS235" s="224"/>
      <c r="AT235" s="224"/>
      <c r="AU235" s="224"/>
      <c r="AV235" s="224"/>
      <c r="AW235" s="224"/>
      <c r="AX235" s="224"/>
      <c r="AY235" s="224"/>
      <c r="AZ235" s="224"/>
      <c r="BA235" s="224"/>
      <c r="BB235" s="224"/>
      <c r="BC235" s="224"/>
      <c r="BD235" s="224"/>
      <c r="BE235" s="224"/>
      <c r="BF235" s="224"/>
      <c r="BG235" s="224"/>
      <c r="BH235" s="224"/>
      <c r="BI235" s="224"/>
      <c r="BJ235" s="224"/>
      <c r="BK235" s="224"/>
      <c r="BL235" s="224"/>
      <c r="BM235" s="224"/>
      <c r="BN235" s="224"/>
      <c r="BO235" s="224"/>
      <c r="BP235" s="224"/>
      <c r="BQ235" s="224"/>
      <c r="BR235" s="224"/>
      <c r="BS235" s="224"/>
      <c r="BT235" s="224"/>
      <c r="BU235" s="224"/>
      <c r="BV235" s="224"/>
    </row>
    <row r="236" spans="2:74" x14ac:dyDescent="0.2">
      <c r="B236" s="210"/>
      <c r="C236" s="203"/>
      <c r="D236" s="203"/>
      <c r="E236" s="261"/>
      <c r="F236" s="224"/>
      <c r="G236" s="224"/>
      <c r="H236" s="224"/>
      <c r="I236" s="224"/>
      <c r="J236" s="224"/>
      <c r="K236" s="224"/>
      <c r="L236" s="224"/>
      <c r="M236" s="224"/>
      <c r="N236" s="224"/>
      <c r="O236" s="224"/>
      <c r="P236" s="224"/>
      <c r="Q236" s="224"/>
      <c r="R236" s="224"/>
      <c r="S236" s="224"/>
      <c r="T236" s="224"/>
      <c r="U236" s="224"/>
      <c r="V236" s="224"/>
      <c r="W236" s="224"/>
      <c r="X236" s="224"/>
      <c r="Y236" s="224"/>
      <c r="Z236" s="224"/>
      <c r="AA236" s="224"/>
      <c r="AB236" s="224"/>
      <c r="AC236" s="224"/>
      <c r="AD236" s="224"/>
      <c r="AE236" s="224"/>
      <c r="AF236" s="224"/>
      <c r="AG236" s="224"/>
      <c r="AH236" s="224"/>
      <c r="AI236" s="224"/>
      <c r="AJ236" s="224"/>
      <c r="AK236" s="224"/>
      <c r="AL236" s="224"/>
      <c r="AM236" s="224"/>
      <c r="AN236" s="224"/>
      <c r="AO236" s="224"/>
      <c r="AP236" s="224"/>
      <c r="AQ236" s="224"/>
      <c r="AR236" s="224"/>
      <c r="AS236" s="224"/>
      <c r="AT236" s="224"/>
      <c r="AU236" s="224"/>
      <c r="AV236" s="224"/>
      <c r="AW236" s="224"/>
      <c r="AX236" s="224"/>
      <c r="AY236" s="224"/>
      <c r="AZ236" s="224"/>
      <c r="BA236" s="224"/>
      <c r="BB236" s="224"/>
      <c r="BC236" s="224"/>
      <c r="BD236" s="224"/>
      <c r="BE236" s="224"/>
      <c r="BF236" s="224"/>
      <c r="BG236" s="224"/>
      <c r="BH236" s="224"/>
      <c r="BI236" s="224"/>
      <c r="BJ236" s="224"/>
      <c r="BK236" s="224"/>
      <c r="BL236" s="224"/>
      <c r="BM236" s="224"/>
      <c r="BN236" s="224"/>
      <c r="BO236" s="224"/>
      <c r="BP236" s="224"/>
      <c r="BQ236" s="224"/>
      <c r="BR236" s="224"/>
      <c r="BS236" s="224"/>
      <c r="BT236" s="224"/>
      <c r="BU236" s="224"/>
      <c r="BV236" s="224"/>
    </row>
    <row r="237" spans="2:74" x14ac:dyDescent="0.2">
      <c r="B237" s="210"/>
      <c r="C237" s="203"/>
      <c r="D237" s="203"/>
      <c r="E237" s="261"/>
      <c r="F237" s="224"/>
      <c r="G237" s="224"/>
      <c r="H237" s="224"/>
      <c r="I237" s="224"/>
      <c r="J237" s="224"/>
      <c r="K237" s="224"/>
      <c r="L237" s="224"/>
      <c r="M237" s="224"/>
      <c r="N237" s="224"/>
      <c r="O237" s="224"/>
      <c r="P237" s="224"/>
      <c r="Q237" s="224"/>
      <c r="R237" s="224"/>
      <c r="S237" s="224"/>
      <c r="T237" s="224"/>
      <c r="U237" s="224"/>
      <c r="V237" s="224"/>
      <c r="W237" s="224"/>
      <c r="X237" s="224"/>
      <c r="Y237" s="224"/>
      <c r="Z237" s="224"/>
      <c r="AA237" s="224"/>
      <c r="AB237" s="224"/>
      <c r="AC237" s="224"/>
      <c r="AD237" s="224"/>
      <c r="AE237" s="224"/>
      <c r="AF237" s="224"/>
      <c r="AG237" s="224"/>
      <c r="AH237" s="224"/>
      <c r="AI237" s="224"/>
      <c r="AJ237" s="224"/>
      <c r="AK237" s="224"/>
      <c r="AL237" s="224"/>
      <c r="AM237" s="224"/>
      <c r="AN237" s="224"/>
      <c r="AO237" s="224"/>
      <c r="AP237" s="224"/>
      <c r="AQ237" s="224"/>
      <c r="AR237" s="224"/>
      <c r="AS237" s="224"/>
      <c r="AT237" s="224"/>
      <c r="AU237" s="224"/>
      <c r="AV237" s="224"/>
      <c r="AW237" s="224"/>
      <c r="AX237" s="224"/>
      <c r="AY237" s="224"/>
      <c r="AZ237" s="224"/>
      <c r="BA237" s="224"/>
      <c r="BB237" s="224"/>
      <c r="BC237" s="224"/>
      <c r="BD237" s="224"/>
      <c r="BE237" s="224"/>
      <c r="BF237" s="224"/>
      <c r="BG237" s="224"/>
      <c r="BH237" s="224"/>
      <c r="BI237" s="224"/>
      <c r="BJ237" s="224"/>
      <c r="BK237" s="224"/>
      <c r="BL237" s="224"/>
      <c r="BM237" s="224"/>
      <c r="BN237" s="224"/>
      <c r="BO237" s="224"/>
      <c r="BP237" s="224"/>
      <c r="BQ237" s="224"/>
      <c r="BR237" s="224"/>
      <c r="BS237" s="224"/>
      <c r="BT237" s="224"/>
      <c r="BU237" s="224"/>
      <c r="BV237" s="224"/>
    </row>
    <row r="238" spans="2:74" x14ac:dyDescent="0.2">
      <c r="B238" s="210"/>
      <c r="C238" s="203"/>
      <c r="D238" s="203"/>
      <c r="E238" s="261"/>
      <c r="F238" s="224"/>
      <c r="G238" s="224"/>
      <c r="H238" s="224"/>
      <c r="I238" s="224"/>
      <c r="J238" s="224"/>
      <c r="K238" s="224"/>
      <c r="L238" s="224"/>
      <c r="M238" s="224"/>
      <c r="N238" s="224"/>
      <c r="O238" s="224"/>
      <c r="P238" s="224"/>
      <c r="Q238" s="224"/>
      <c r="R238" s="224"/>
      <c r="S238" s="224"/>
      <c r="T238" s="224"/>
      <c r="U238" s="224"/>
      <c r="V238" s="224"/>
      <c r="W238" s="224"/>
      <c r="X238" s="224"/>
      <c r="Y238" s="224"/>
      <c r="Z238" s="224"/>
      <c r="AA238" s="224"/>
      <c r="AB238" s="224"/>
      <c r="AC238" s="224"/>
      <c r="AD238" s="224"/>
      <c r="AE238" s="224"/>
      <c r="AF238" s="224"/>
      <c r="AG238" s="224"/>
      <c r="AH238" s="224"/>
      <c r="AI238" s="224"/>
      <c r="AJ238" s="224"/>
      <c r="AK238" s="224"/>
      <c r="AL238" s="224"/>
      <c r="AM238" s="224"/>
      <c r="AN238" s="224"/>
      <c r="AO238" s="224"/>
      <c r="AP238" s="224"/>
      <c r="AQ238" s="224"/>
      <c r="AR238" s="224"/>
      <c r="AS238" s="224"/>
      <c r="AT238" s="224"/>
      <c r="AU238" s="224"/>
      <c r="AV238" s="224"/>
      <c r="AW238" s="224"/>
      <c r="AX238" s="224"/>
      <c r="AY238" s="224"/>
      <c r="AZ238" s="224"/>
      <c r="BA238" s="224"/>
      <c r="BB238" s="224"/>
      <c r="BC238" s="224"/>
      <c r="BD238" s="224"/>
      <c r="BE238" s="224"/>
      <c r="BF238" s="224"/>
      <c r="BG238" s="224"/>
      <c r="BH238" s="224"/>
      <c r="BI238" s="224"/>
      <c r="BJ238" s="224"/>
      <c r="BK238" s="224"/>
      <c r="BL238" s="224"/>
      <c r="BM238" s="224"/>
      <c r="BN238" s="224"/>
      <c r="BO238" s="224"/>
      <c r="BP238" s="224"/>
      <c r="BQ238" s="224"/>
      <c r="BR238" s="224"/>
      <c r="BS238" s="224"/>
      <c r="BT238" s="224"/>
      <c r="BU238" s="224"/>
      <c r="BV238" s="224"/>
    </row>
    <row r="239" spans="2:74" x14ac:dyDescent="0.2">
      <c r="B239" s="210"/>
      <c r="C239" s="203"/>
      <c r="D239" s="203"/>
      <c r="E239" s="261"/>
      <c r="F239" s="224"/>
      <c r="G239" s="224"/>
      <c r="H239" s="224"/>
      <c r="I239" s="224"/>
      <c r="J239" s="224"/>
      <c r="K239" s="224"/>
      <c r="L239" s="224"/>
      <c r="M239" s="224"/>
      <c r="N239" s="224"/>
      <c r="O239" s="224"/>
      <c r="P239" s="224"/>
      <c r="Q239" s="224"/>
      <c r="R239" s="224"/>
      <c r="S239" s="224"/>
      <c r="T239" s="224"/>
      <c r="U239" s="224"/>
      <c r="V239" s="224"/>
      <c r="W239" s="224"/>
      <c r="X239" s="224"/>
      <c r="Y239" s="224"/>
      <c r="Z239" s="224"/>
      <c r="AA239" s="224"/>
      <c r="AB239" s="224"/>
      <c r="AC239" s="224"/>
      <c r="AD239" s="224"/>
      <c r="AE239" s="224"/>
      <c r="AF239" s="224"/>
      <c r="AG239" s="224"/>
      <c r="AH239" s="224"/>
      <c r="AI239" s="224"/>
      <c r="AJ239" s="224"/>
      <c r="AK239" s="224"/>
      <c r="AL239" s="224"/>
      <c r="AM239" s="224"/>
      <c r="AN239" s="224"/>
      <c r="AO239" s="224"/>
      <c r="AP239" s="224"/>
      <c r="AQ239" s="224"/>
      <c r="AR239" s="224"/>
      <c r="AS239" s="224"/>
      <c r="AT239" s="224"/>
      <c r="AU239" s="224"/>
      <c r="AV239" s="224"/>
      <c r="AW239" s="224"/>
      <c r="AX239" s="224"/>
      <c r="AY239" s="224"/>
      <c r="AZ239" s="224"/>
      <c r="BA239" s="224"/>
      <c r="BB239" s="224"/>
      <c r="BC239" s="224"/>
      <c r="BD239" s="224"/>
      <c r="BE239" s="224"/>
      <c r="BF239" s="224"/>
      <c r="BG239" s="224"/>
      <c r="BH239" s="224"/>
      <c r="BI239" s="224"/>
      <c r="BJ239" s="224"/>
      <c r="BK239" s="224"/>
      <c r="BL239" s="224"/>
      <c r="BM239" s="224"/>
      <c r="BN239" s="224"/>
      <c r="BO239" s="224"/>
      <c r="BP239" s="224"/>
      <c r="BQ239" s="224"/>
      <c r="BR239" s="224"/>
      <c r="BS239" s="224"/>
      <c r="BT239" s="224"/>
      <c r="BU239" s="224"/>
      <c r="BV239" s="224"/>
    </row>
    <row r="240" spans="2:74" x14ac:dyDescent="0.2">
      <c r="B240" s="210"/>
      <c r="C240" s="203"/>
      <c r="D240" s="203"/>
      <c r="E240" s="261"/>
      <c r="F240" s="224"/>
      <c r="G240" s="224"/>
      <c r="H240" s="224"/>
      <c r="I240" s="224"/>
      <c r="J240" s="224"/>
      <c r="K240" s="224"/>
      <c r="L240" s="224"/>
      <c r="M240" s="224"/>
      <c r="N240" s="224"/>
      <c r="O240" s="224"/>
      <c r="P240" s="224"/>
      <c r="Q240" s="224"/>
      <c r="R240" s="224"/>
      <c r="S240" s="224"/>
      <c r="T240" s="224"/>
      <c r="U240" s="224"/>
      <c r="V240" s="224"/>
      <c r="W240" s="224"/>
      <c r="X240" s="224"/>
      <c r="Y240" s="224"/>
      <c r="Z240" s="224"/>
      <c r="AA240" s="224"/>
      <c r="AB240" s="224"/>
      <c r="AC240" s="224"/>
      <c r="AD240" s="224"/>
      <c r="AE240" s="224"/>
      <c r="AF240" s="224"/>
      <c r="AG240" s="224"/>
      <c r="AH240" s="224"/>
      <c r="AI240" s="224"/>
      <c r="AJ240" s="224"/>
      <c r="AK240" s="224"/>
      <c r="AL240" s="224"/>
      <c r="AM240" s="224"/>
      <c r="AN240" s="224"/>
      <c r="AO240" s="224"/>
      <c r="AP240" s="224"/>
      <c r="AQ240" s="224"/>
      <c r="AR240" s="224"/>
      <c r="AS240" s="224"/>
      <c r="AT240" s="224"/>
      <c r="AU240" s="224"/>
      <c r="AV240" s="224"/>
      <c r="AW240" s="224"/>
      <c r="AX240" s="224"/>
      <c r="AY240" s="224"/>
      <c r="AZ240" s="224"/>
      <c r="BA240" s="224"/>
      <c r="BB240" s="224"/>
      <c r="BC240" s="224"/>
      <c r="BD240" s="224"/>
      <c r="BE240" s="224"/>
      <c r="BF240" s="224"/>
      <c r="BG240" s="224"/>
      <c r="BH240" s="224"/>
      <c r="BI240" s="224"/>
      <c r="BJ240" s="224"/>
      <c r="BK240" s="224"/>
      <c r="BL240" s="224"/>
      <c r="BM240" s="224"/>
      <c r="BN240" s="224"/>
      <c r="BO240" s="224"/>
      <c r="BP240" s="224"/>
      <c r="BQ240" s="224"/>
      <c r="BR240" s="224"/>
      <c r="BS240" s="224"/>
      <c r="BT240" s="224"/>
      <c r="BU240" s="224"/>
      <c r="BV240" s="224"/>
    </row>
    <row r="241" spans="2:74" x14ac:dyDescent="0.2">
      <c r="B241" s="210"/>
      <c r="C241" s="203"/>
      <c r="D241" s="203"/>
      <c r="E241" s="261"/>
      <c r="F241" s="224"/>
      <c r="G241" s="224"/>
      <c r="H241" s="224"/>
      <c r="I241" s="224"/>
      <c r="J241" s="224"/>
      <c r="K241" s="224"/>
      <c r="L241" s="224"/>
      <c r="M241" s="224"/>
      <c r="N241" s="224"/>
      <c r="O241" s="224"/>
      <c r="P241" s="224"/>
      <c r="Q241" s="224"/>
      <c r="R241" s="224"/>
      <c r="S241" s="224"/>
      <c r="T241" s="224"/>
      <c r="U241" s="224"/>
      <c r="V241" s="224"/>
      <c r="W241" s="224"/>
      <c r="X241" s="224"/>
      <c r="Y241" s="224"/>
      <c r="Z241" s="224"/>
      <c r="AA241" s="224"/>
      <c r="AB241" s="224"/>
      <c r="AC241" s="224"/>
      <c r="AD241" s="224"/>
      <c r="AE241" s="224"/>
      <c r="AF241" s="224"/>
      <c r="AG241" s="224"/>
      <c r="AH241" s="224"/>
      <c r="AI241" s="224"/>
      <c r="AJ241" s="224"/>
      <c r="AK241" s="224"/>
      <c r="AL241" s="224"/>
      <c r="AM241" s="224"/>
      <c r="AN241" s="224"/>
      <c r="AO241" s="224"/>
      <c r="AP241" s="224"/>
      <c r="AQ241" s="224"/>
      <c r="AR241" s="224"/>
      <c r="AS241" s="224"/>
      <c r="AT241" s="224"/>
      <c r="AU241" s="224"/>
      <c r="AV241" s="224"/>
      <c r="AW241" s="224"/>
      <c r="AX241" s="224"/>
      <c r="AY241" s="224"/>
      <c r="AZ241" s="224"/>
      <c r="BA241" s="224"/>
      <c r="BB241" s="224"/>
      <c r="BC241" s="224"/>
      <c r="BD241" s="224"/>
      <c r="BE241" s="224"/>
      <c r="BF241" s="224"/>
      <c r="BG241" s="224"/>
      <c r="BH241" s="224"/>
      <c r="BI241" s="224"/>
      <c r="BJ241" s="224"/>
      <c r="BK241" s="224"/>
      <c r="BL241" s="224"/>
      <c r="BM241" s="224"/>
      <c r="BN241" s="224"/>
      <c r="BO241" s="224"/>
      <c r="BP241" s="224"/>
      <c r="BQ241" s="224"/>
      <c r="BR241" s="224"/>
      <c r="BS241" s="224"/>
      <c r="BT241" s="224"/>
      <c r="BU241" s="224"/>
      <c r="BV241" s="224"/>
    </row>
    <row r="242" spans="2:74" x14ac:dyDescent="0.2">
      <c r="B242" s="210"/>
      <c r="C242" s="203"/>
      <c r="D242" s="203"/>
      <c r="E242" s="261"/>
      <c r="F242" s="224"/>
      <c r="G242" s="224"/>
      <c r="H242" s="224"/>
      <c r="I242" s="224"/>
      <c r="J242" s="224"/>
      <c r="K242" s="224"/>
      <c r="L242" s="224"/>
      <c r="M242" s="224"/>
      <c r="N242" s="224"/>
      <c r="O242" s="224"/>
      <c r="P242" s="224"/>
      <c r="Q242" s="224"/>
      <c r="R242" s="224"/>
      <c r="S242" s="224"/>
      <c r="T242" s="224"/>
      <c r="U242" s="224"/>
      <c r="V242" s="224"/>
      <c r="W242" s="224"/>
      <c r="X242" s="224"/>
      <c r="Y242" s="224"/>
      <c r="Z242" s="224"/>
      <c r="AA242" s="224"/>
      <c r="AB242" s="224"/>
      <c r="AC242" s="224"/>
      <c r="AD242" s="224"/>
      <c r="AE242" s="224"/>
      <c r="AF242" s="224"/>
      <c r="AG242" s="224"/>
      <c r="AH242" s="224"/>
      <c r="AI242" s="224"/>
      <c r="AJ242" s="224"/>
      <c r="AK242" s="224"/>
      <c r="AL242" s="224"/>
      <c r="AM242" s="224"/>
      <c r="AN242" s="224"/>
      <c r="AO242" s="224"/>
      <c r="AP242" s="224"/>
      <c r="AQ242" s="224"/>
      <c r="AR242" s="224"/>
      <c r="AS242" s="224"/>
      <c r="AT242" s="224"/>
      <c r="AU242" s="224"/>
      <c r="AV242" s="224"/>
      <c r="AW242" s="224"/>
      <c r="AX242" s="224"/>
      <c r="AY242" s="224"/>
      <c r="AZ242" s="224"/>
      <c r="BA242" s="224"/>
      <c r="BB242" s="224"/>
      <c r="BC242" s="224"/>
      <c r="BD242" s="224"/>
      <c r="BE242" s="224"/>
      <c r="BF242" s="224"/>
      <c r="BG242" s="224"/>
      <c r="BH242" s="224"/>
      <c r="BI242" s="224"/>
      <c r="BJ242" s="224"/>
      <c r="BK242" s="224"/>
      <c r="BL242" s="224"/>
      <c r="BM242" s="224"/>
      <c r="BN242" s="224"/>
      <c r="BO242" s="224"/>
      <c r="BP242" s="224"/>
      <c r="BQ242" s="224"/>
      <c r="BR242" s="224"/>
      <c r="BS242" s="224"/>
      <c r="BT242" s="224"/>
      <c r="BU242" s="224"/>
      <c r="BV242" s="224"/>
    </row>
    <row r="243" spans="2:74" x14ac:dyDescent="0.2">
      <c r="B243" s="210"/>
      <c r="C243" s="203"/>
      <c r="D243" s="203"/>
      <c r="E243" s="261"/>
      <c r="F243" s="224"/>
      <c r="G243" s="224"/>
      <c r="H243" s="224"/>
      <c r="I243" s="224"/>
      <c r="J243" s="224"/>
      <c r="K243" s="224"/>
      <c r="L243" s="224"/>
      <c r="M243" s="224"/>
      <c r="N243" s="224"/>
      <c r="O243" s="224"/>
      <c r="P243" s="224"/>
      <c r="Q243" s="224"/>
      <c r="R243" s="224"/>
      <c r="S243" s="224"/>
      <c r="T243" s="224"/>
      <c r="U243" s="224"/>
      <c r="V243" s="224"/>
      <c r="W243" s="224"/>
      <c r="X243" s="224"/>
      <c r="Y243" s="224"/>
      <c r="Z243" s="224"/>
      <c r="AA243" s="224"/>
      <c r="AB243" s="224"/>
      <c r="AC243" s="224"/>
      <c r="AD243" s="224"/>
      <c r="AE243" s="224"/>
      <c r="AF243" s="224"/>
      <c r="AG243" s="224"/>
      <c r="AH243" s="224"/>
      <c r="AI243" s="224"/>
      <c r="AJ243" s="224"/>
      <c r="AK243" s="224"/>
      <c r="AL243" s="224"/>
      <c r="AM243" s="224"/>
      <c r="AN243" s="224"/>
      <c r="AO243" s="224"/>
      <c r="AP243" s="224"/>
      <c r="AQ243" s="224"/>
      <c r="AR243" s="224"/>
      <c r="AS243" s="224"/>
      <c r="AT243" s="224"/>
      <c r="AU243" s="224"/>
      <c r="AV243" s="224"/>
      <c r="AW243" s="224"/>
      <c r="AX243" s="224"/>
      <c r="AY243" s="224"/>
      <c r="AZ243" s="224"/>
      <c r="BA243" s="224"/>
      <c r="BB243" s="224"/>
      <c r="BC243" s="224"/>
      <c r="BD243" s="224"/>
      <c r="BE243" s="224"/>
      <c r="BF243" s="224"/>
      <c r="BG243" s="224"/>
      <c r="BH243" s="224"/>
      <c r="BI243" s="224"/>
      <c r="BJ243" s="224"/>
      <c r="BK243" s="224"/>
      <c r="BL243" s="224"/>
      <c r="BM243" s="224"/>
      <c r="BN243" s="224"/>
      <c r="BO243" s="224"/>
      <c r="BP243" s="224"/>
      <c r="BQ243" s="224"/>
      <c r="BR243" s="224"/>
      <c r="BS243" s="224"/>
      <c r="BT243" s="224"/>
      <c r="BU243" s="224"/>
      <c r="BV243" s="224"/>
    </row>
    <row r="244" spans="2:74" x14ac:dyDescent="0.2">
      <c r="B244" s="210"/>
      <c r="C244" s="203"/>
      <c r="D244" s="203"/>
      <c r="E244" s="261"/>
      <c r="F244" s="224"/>
      <c r="G244" s="224"/>
      <c r="H244" s="224"/>
      <c r="I244" s="224"/>
      <c r="J244" s="224"/>
      <c r="K244" s="224"/>
      <c r="L244" s="224"/>
      <c r="M244" s="224"/>
      <c r="N244" s="224"/>
      <c r="O244" s="224"/>
      <c r="P244" s="224"/>
      <c r="Q244" s="224"/>
      <c r="R244" s="224"/>
      <c r="S244" s="224"/>
      <c r="T244" s="224"/>
      <c r="U244" s="224"/>
      <c r="V244" s="224"/>
      <c r="W244" s="224"/>
      <c r="X244" s="224"/>
      <c r="Y244" s="224"/>
      <c r="Z244" s="224"/>
      <c r="AA244" s="224"/>
      <c r="AB244" s="224"/>
      <c r="AC244" s="224"/>
      <c r="AD244" s="224"/>
      <c r="AE244" s="224"/>
      <c r="AF244" s="224"/>
      <c r="AG244" s="224"/>
      <c r="AH244" s="224"/>
      <c r="AI244" s="224"/>
      <c r="AJ244" s="224"/>
      <c r="AK244" s="224"/>
      <c r="AL244" s="224"/>
      <c r="AM244" s="224"/>
      <c r="AN244" s="224"/>
      <c r="AO244" s="224"/>
      <c r="AP244" s="224"/>
      <c r="AQ244" s="224"/>
      <c r="AR244" s="224"/>
      <c r="AS244" s="224"/>
      <c r="AT244" s="224"/>
      <c r="AU244" s="224"/>
      <c r="AV244" s="224"/>
      <c r="AW244" s="224"/>
      <c r="AX244" s="224"/>
      <c r="AY244" s="224"/>
      <c r="AZ244" s="224"/>
      <c r="BA244" s="224"/>
      <c r="BB244" s="224"/>
      <c r="BC244" s="224"/>
      <c r="BD244" s="224"/>
      <c r="BE244" s="224"/>
      <c r="BF244" s="224"/>
      <c r="BG244" s="224"/>
      <c r="BH244" s="224"/>
      <c r="BI244" s="224"/>
      <c r="BJ244" s="224"/>
      <c r="BK244" s="224"/>
      <c r="BL244" s="224"/>
      <c r="BM244" s="224"/>
      <c r="BN244" s="224"/>
      <c r="BO244" s="224"/>
      <c r="BP244" s="224"/>
      <c r="BQ244" s="224"/>
      <c r="BR244" s="224"/>
      <c r="BS244" s="224"/>
      <c r="BT244" s="224"/>
      <c r="BU244" s="224"/>
      <c r="BV244" s="224"/>
    </row>
    <row r="245" spans="2:74" x14ac:dyDescent="0.2">
      <c r="B245" s="210"/>
      <c r="C245" s="203"/>
      <c r="D245" s="203"/>
      <c r="E245" s="261"/>
      <c r="F245" s="224"/>
      <c r="G245" s="224"/>
      <c r="H245" s="224"/>
      <c r="I245" s="224"/>
      <c r="J245" s="224"/>
      <c r="K245" s="224"/>
      <c r="L245" s="224"/>
      <c r="M245" s="224"/>
      <c r="N245" s="224"/>
      <c r="O245" s="224"/>
      <c r="P245" s="224"/>
      <c r="Q245" s="224"/>
      <c r="R245" s="224"/>
      <c r="S245" s="224"/>
      <c r="T245" s="224"/>
      <c r="U245" s="224"/>
      <c r="V245" s="224"/>
      <c r="W245" s="224"/>
      <c r="X245" s="224"/>
      <c r="Y245" s="224"/>
      <c r="Z245" s="224"/>
      <c r="AA245" s="224"/>
      <c r="AB245" s="224"/>
      <c r="AC245" s="224"/>
      <c r="AD245" s="224"/>
      <c r="AE245" s="224"/>
      <c r="AF245" s="224"/>
      <c r="AG245" s="224"/>
      <c r="AH245" s="224"/>
      <c r="AI245" s="224"/>
      <c r="AJ245" s="224"/>
      <c r="AK245" s="224"/>
      <c r="AL245" s="224"/>
      <c r="AM245" s="224"/>
      <c r="AN245" s="224"/>
      <c r="AO245" s="224"/>
      <c r="AP245" s="224"/>
      <c r="AQ245" s="224"/>
      <c r="AR245" s="224"/>
      <c r="AS245" s="224"/>
      <c r="AT245" s="224"/>
      <c r="AU245" s="224"/>
      <c r="AV245" s="224"/>
      <c r="AW245" s="224"/>
      <c r="AX245" s="224"/>
      <c r="AY245" s="224"/>
      <c r="AZ245" s="224"/>
      <c r="BA245" s="224"/>
      <c r="BB245" s="224"/>
      <c r="BC245" s="224"/>
      <c r="BD245" s="224"/>
      <c r="BE245" s="224"/>
      <c r="BF245" s="224"/>
      <c r="BG245" s="224"/>
      <c r="BH245" s="224"/>
      <c r="BI245" s="224"/>
      <c r="BJ245" s="224"/>
      <c r="BK245" s="224"/>
      <c r="BL245" s="224"/>
      <c r="BM245" s="224"/>
      <c r="BN245" s="224"/>
      <c r="BO245" s="224"/>
      <c r="BP245" s="224"/>
      <c r="BQ245" s="224"/>
      <c r="BR245" s="224"/>
      <c r="BS245" s="224"/>
      <c r="BT245" s="224"/>
      <c r="BU245" s="224"/>
      <c r="BV245" s="224"/>
    </row>
    <row r="246" spans="2:74" x14ac:dyDescent="0.2">
      <c r="B246" s="210"/>
      <c r="C246" s="203"/>
      <c r="D246" s="203"/>
      <c r="E246" s="261"/>
      <c r="F246" s="224"/>
      <c r="G246" s="224"/>
      <c r="H246" s="224"/>
      <c r="I246" s="224"/>
      <c r="J246" s="224"/>
      <c r="K246" s="224"/>
      <c r="L246" s="224"/>
      <c r="M246" s="224"/>
      <c r="N246" s="224"/>
      <c r="O246" s="224"/>
      <c r="P246" s="224"/>
      <c r="Q246" s="224"/>
      <c r="R246" s="224"/>
      <c r="S246" s="224"/>
      <c r="T246" s="224"/>
      <c r="U246" s="224"/>
      <c r="V246" s="224"/>
      <c r="W246" s="224"/>
      <c r="X246" s="224"/>
      <c r="Y246" s="224"/>
      <c r="Z246" s="224"/>
      <c r="AA246" s="224"/>
      <c r="AB246" s="224"/>
      <c r="AC246" s="224"/>
      <c r="AD246" s="224"/>
      <c r="AE246" s="224"/>
      <c r="AF246" s="224"/>
      <c r="AG246" s="224"/>
      <c r="AH246" s="224"/>
      <c r="AI246" s="224"/>
      <c r="AJ246" s="224"/>
      <c r="AK246" s="224"/>
      <c r="AL246" s="224"/>
      <c r="AM246" s="224"/>
      <c r="AN246" s="224"/>
      <c r="AO246" s="224"/>
      <c r="AP246" s="224"/>
      <c r="AQ246" s="224"/>
      <c r="AR246" s="224"/>
      <c r="AS246" s="224"/>
      <c r="AT246" s="224"/>
      <c r="AU246" s="224"/>
      <c r="AV246" s="224"/>
      <c r="AW246" s="224"/>
      <c r="AX246" s="224"/>
      <c r="AY246" s="224"/>
      <c r="AZ246" s="224"/>
      <c r="BA246" s="224"/>
      <c r="BB246" s="224"/>
      <c r="BC246" s="224"/>
      <c r="BD246" s="224"/>
      <c r="BE246" s="224"/>
      <c r="BF246" s="224"/>
      <c r="BG246" s="224"/>
      <c r="BH246" s="224"/>
      <c r="BI246" s="224"/>
      <c r="BJ246" s="224"/>
      <c r="BK246" s="224"/>
      <c r="BL246" s="224"/>
      <c r="BM246" s="224"/>
      <c r="BN246" s="224"/>
      <c r="BO246" s="224"/>
      <c r="BP246" s="224"/>
      <c r="BQ246" s="224"/>
      <c r="BR246" s="224"/>
      <c r="BS246" s="224"/>
      <c r="BT246" s="224"/>
      <c r="BU246" s="224"/>
      <c r="BV246" s="224"/>
    </row>
    <row r="247" spans="2:74" x14ac:dyDescent="0.2">
      <c r="B247" s="210"/>
      <c r="C247" s="203"/>
      <c r="D247" s="203"/>
      <c r="E247" s="261"/>
      <c r="F247" s="224"/>
      <c r="G247" s="224"/>
      <c r="H247" s="224"/>
      <c r="I247" s="224"/>
      <c r="J247" s="224"/>
      <c r="K247" s="224"/>
      <c r="L247" s="224"/>
      <c r="M247" s="224"/>
      <c r="N247" s="224"/>
      <c r="O247" s="224"/>
      <c r="P247" s="224"/>
      <c r="Q247" s="224"/>
      <c r="R247" s="224"/>
      <c r="S247" s="224"/>
      <c r="T247" s="224"/>
      <c r="U247" s="224"/>
      <c r="V247" s="224"/>
      <c r="W247" s="224"/>
      <c r="X247" s="224"/>
      <c r="Y247" s="224"/>
      <c r="Z247" s="224"/>
      <c r="AA247" s="224"/>
      <c r="AB247" s="224"/>
      <c r="AC247" s="224"/>
      <c r="AD247" s="224"/>
      <c r="AE247" s="224"/>
      <c r="AF247" s="224"/>
      <c r="AG247" s="224"/>
      <c r="AH247" s="224"/>
      <c r="AI247" s="224"/>
      <c r="AJ247" s="224"/>
      <c r="AK247" s="224"/>
      <c r="AL247" s="224"/>
      <c r="AM247" s="224"/>
      <c r="AN247" s="224"/>
      <c r="AO247" s="224"/>
      <c r="AP247" s="224"/>
      <c r="AQ247" s="224"/>
      <c r="AR247" s="224"/>
      <c r="AS247" s="224"/>
      <c r="AT247" s="224"/>
      <c r="AU247" s="224"/>
      <c r="AV247" s="224"/>
      <c r="AW247" s="224"/>
      <c r="AX247" s="224"/>
      <c r="AY247" s="224"/>
      <c r="AZ247" s="224"/>
      <c r="BA247" s="224"/>
      <c r="BB247" s="224"/>
      <c r="BC247" s="224"/>
      <c r="BD247" s="224"/>
      <c r="BE247" s="224"/>
      <c r="BF247" s="224"/>
      <c r="BG247" s="224"/>
      <c r="BH247" s="224"/>
      <c r="BI247" s="224"/>
      <c r="BJ247" s="224"/>
      <c r="BK247" s="224"/>
      <c r="BL247" s="224"/>
      <c r="BM247" s="224"/>
      <c r="BN247" s="224"/>
      <c r="BO247" s="224"/>
      <c r="BP247" s="224"/>
      <c r="BQ247" s="224"/>
      <c r="BR247" s="224"/>
      <c r="BS247" s="224"/>
      <c r="BT247" s="224"/>
      <c r="BU247" s="224"/>
      <c r="BV247" s="224"/>
    </row>
    <row r="248" spans="2:74" x14ac:dyDescent="0.2">
      <c r="B248" s="210"/>
      <c r="C248" s="203"/>
      <c r="D248" s="203"/>
      <c r="E248" s="261"/>
      <c r="F248" s="224"/>
      <c r="G248" s="224"/>
      <c r="H248" s="224"/>
      <c r="I248" s="224"/>
      <c r="J248" s="224"/>
      <c r="K248" s="224"/>
      <c r="L248" s="224"/>
      <c r="M248" s="224"/>
      <c r="N248" s="224"/>
      <c r="O248" s="224"/>
      <c r="P248" s="224"/>
      <c r="Q248" s="224"/>
      <c r="R248" s="224"/>
      <c r="S248" s="224"/>
      <c r="T248" s="224"/>
      <c r="U248" s="224"/>
      <c r="V248" s="224"/>
      <c r="W248" s="224"/>
      <c r="X248" s="224"/>
      <c r="Y248" s="224"/>
      <c r="Z248" s="224"/>
      <c r="AA248" s="224"/>
      <c r="AB248" s="224"/>
      <c r="AC248" s="224"/>
      <c r="AD248" s="224"/>
      <c r="AE248" s="224"/>
      <c r="AF248" s="224"/>
      <c r="AG248" s="224"/>
      <c r="AH248" s="224"/>
      <c r="AI248" s="224"/>
      <c r="AJ248" s="224"/>
      <c r="AK248" s="224"/>
      <c r="AL248" s="224"/>
      <c r="AM248" s="224"/>
      <c r="AN248" s="224"/>
      <c r="AO248" s="224"/>
      <c r="AP248" s="224"/>
      <c r="AQ248" s="224"/>
      <c r="AR248" s="224"/>
      <c r="AS248" s="224"/>
      <c r="AT248" s="224"/>
      <c r="AU248" s="224"/>
      <c r="AV248" s="224"/>
      <c r="AW248" s="224"/>
      <c r="AX248" s="224"/>
      <c r="AY248" s="224"/>
      <c r="AZ248" s="224"/>
      <c r="BA248" s="224"/>
      <c r="BB248" s="224"/>
      <c r="BC248" s="224"/>
      <c r="BD248" s="224"/>
      <c r="BE248" s="224"/>
      <c r="BF248" s="224"/>
      <c r="BG248" s="224"/>
      <c r="BH248" s="224"/>
      <c r="BI248" s="224"/>
      <c r="BJ248" s="224"/>
      <c r="BK248" s="224"/>
      <c r="BL248" s="224"/>
      <c r="BM248" s="224"/>
      <c r="BN248" s="224"/>
      <c r="BO248" s="224"/>
      <c r="BP248" s="224"/>
      <c r="BQ248" s="224"/>
      <c r="BR248" s="224"/>
      <c r="BS248" s="224"/>
      <c r="BT248" s="224"/>
      <c r="BU248" s="224"/>
      <c r="BV248" s="224"/>
    </row>
    <row r="249" spans="2:74" x14ac:dyDescent="0.2">
      <c r="B249" s="210"/>
      <c r="C249" s="203"/>
      <c r="D249" s="203"/>
      <c r="E249" s="261"/>
      <c r="F249" s="224"/>
      <c r="G249" s="224"/>
      <c r="H249" s="224"/>
      <c r="I249" s="224"/>
      <c r="J249" s="224"/>
      <c r="K249" s="224"/>
      <c r="L249" s="224"/>
      <c r="M249" s="224"/>
      <c r="N249" s="224"/>
      <c r="O249" s="224"/>
      <c r="P249" s="224"/>
      <c r="Q249" s="224"/>
      <c r="R249" s="224"/>
      <c r="S249" s="224"/>
      <c r="T249" s="224"/>
      <c r="U249" s="224"/>
      <c r="V249" s="224"/>
      <c r="W249" s="224"/>
      <c r="X249" s="224"/>
      <c r="Y249" s="224"/>
      <c r="Z249" s="224"/>
      <c r="AA249" s="224"/>
      <c r="AB249" s="224"/>
      <c r="AC249" s="224"/>
      <c r="AD249" s="224"/>
      <c r="AE249" s="224"/>
      <c r="AF249" s="224"/>
      <c r="AG249" s="224"/>
      <c r="AH249" s="224"/>
      <c r="AI249" s="224"/>
      <c r="AJ249" s="224"/>
      <c r="AK249" s="224"/>
      <c r="AL249" s="224"/>
      <c r="AM249" s="224"/>
      <c r="AN249" s="224"/>
      <c r="AO249" s="224"/>
      <c r="AP249" s="224"/>
      <c r="AQ249" s="224"/>
      <c r="AR249" s="224"/>
      <c r="AS249" s="224"/>
      <c r="AT249" s="224"/>
      <c r="AU249" s="224"/>
      <c r="AV249" s="224"/>
      <c r="AW249" s="224"/>
      <c r="AX249" s="224"/>
      <c r="AY249" s="224"/>
      <c r="AZ249" s="224"/>
      <c r="BA249" s="224"/>
      <c r="BB249" s="224"/>
      <c r="BC249" s="224"/>
      <c r="BD249" s="224"/>
      <c r="BE249" s="224"/>
      <c r="BF249" s="224"/>
      <c r="BG249" s="224"/>
      <c r="BH249" s="224"/>
      <c r="BI249" s="224"/>
      <c r="BJ249" s="224"/>
      <c r="BK249" s="224"/>
      <c r="BL249" s="224"/>
      <c r="BM249" s="224"/>
      <c r="BN249" s="224"/>
      <c r="BO249" s="224"/>
      <c r="BP249" s="224"/>
      <c r="BQ249" s="224"/>
      <c r="BR249" s="224"/>
      <c r="BS249" s="224"/>
      <c r="BT249" s="224"/>
      <c r="BU249" s="224"/>
      <c r="BV249" s="224"/>
    </row>
    <row r="250" spans="2:74" x14ac:dyDescent="0.2">
      <c r="B250" s="210"/>
      <c r="C250" s="203"/>
      <c r="D250" s="203"/>
      <c r="E250" s="261"/>
      <c r="F250" s="224"/>
      <c r="G250" s="224"/>
      <c r="H250" s="224"/>
      <c r="I250" s="224"/>
      <c r="J250" s="224"/>
      <c r="K250" s="224"/>
      <c r="L250" s="224"/>
      <c r="M250" s="224"/>
      <c r="N250" s="224"/>
      <c r="O250" s="224"/>
      <c r="P250" s="224"/>
      <c r="Q250" s="224"/>
      <c r="R250" s="224"/>
      <c r="S250" s="224"/>
      <c r="T250" s="224"/>
      <c r="U250" s="224"/>
      <c r="V250" s="224"/>
      <c r="W250" s="224"/>
      <c r="X250" s="224"/>
      <c r="Y250" s="224"/>
      <c r="Z250" s="224"/>
      <c r="AA250" s="224"/>
      <c r="AB250" s="224"/>
      <c r="AC250" s="224"/>
      <c r="AD250" s="224"/>
      <c r="AE250" s="224"/>
      <c r="AF250" s="224"/>
      <c r="AG250" s="224"/>
      <c r="AH250" s="224"/>
      <c r="AI250" s="224"/>
      <c r="AJ250" s="224"/>
      <c r="AK250" s="224"/>
      <c r="AL250" s="224"/>
      <c r="AM250" s="224"/>
      <c r="AN250" s="224"/>
      <c r="AO250" s="224"/>
      <c r="AP250" s="224"/>
      <c r="AQ250" s="224"/>
      <c r="AR250" s="224"/>
      <c r="AS250" s="224"/>
      <c r="AT250" s="224"/>
      <c r="AU250" s="224"/>
      <c r="AV250" s="224"/>
      <c r="AW250" s="224"/>
      <c r="AX250" s="224"/>
      <c r="AY250" s="224"/>
      <c r="AZ250" s="224"/>
      <c r="BA250" s="224"/>
      <c r="BB250" s="224"/>
      <c r="BC250" s="224"/>
      <c r="BD250" s="224"/>
      <c r="BE250" s="224"/>
      <c r="BF250" s="224"/>
      <c r="BG250" s="224"/>
      <c r="BH250" s="224"/>
      <c r="BI250" s="224"/>
      <c r="BJ250" s="224"/>
      <c r="BK250" s="224"/>
      <c r="BL250" s="224"/>
      <c r="BM250" s="224"/>
      <c r="BN250" s="224"/>
      <c r="BO250" s="224"/>
      <c r="BP250" s="224"/>
      <c r="BQ250" s="224"/>
      <c r="BR250" s="224"/>
      <c r="BS250" s="224"/>
      <c r="BT250" s="224"/>
      <c r="BU250" s="224"/>
      <c r="BV250" s="224"/>
    </row>
    <row r="251" spans="2:74" x14ac:dyDescent="0.2">
      <c r="B251" s="210"/>
      <c r="C251" s="203"/>
      <c r="D251" s="203"/>
      <c r="E251" s="261"/>
      <c r="F251" s="224"/>
      <c r="G251" s="224"/>
      <c r="H251" s="224"/>
      <c r="I251" s="224"/>
      <c r="J251" s="224"/>
      <c r="K251" s="224"/>
      <c r="L251" s="224"/>
      <c r="M251" s="224"/>
      <c r="N251" s="224"/>
      <c r="O251" s="224"/>
      <c r="P251" s="224"/>
      <c r="Q251" s="224"/>
      <c r="R251" s="224"/>
      <c r="S251" s="224"/>
      <c r="T251" s="224"/>
      <c r="U251" s="224"/>
      <c r="V251" s="224"/>
      <c r="W251" s="224"/>
      <c r="X251" s="224"/>
      <c r="Y251" s="224"/>
      <c r="Z251" s="224"/>
      <c r="AA251" s="224"/>
      <c r="AB251" s="224"/>
      <c r="AC251" s="224"/>
      <c r="AD251" s="224"/>
      <c r="AE251" s="224"/>
      <c r="AF251" s="224"/>
      <c r="AG251" s="224"/>
      <c r="AH251" s="224"/>
      <c r="AI251" s="224"/>
      <c r="AJ251" s="224"/>
      <c r="AK251" s="224"/>
      <c r="AL251" s="224"/>
      <c r="AM251" s="224"/>
      <c r="AN251" s="224"/>
      <c r="AO251" s="224"/>
      <c r="AP251" s="224"/>
      <c r="AQ251" s="224"/>
      <c r="AR251" s="224"/>
      <c r="AS251" s="224"/>
      <c r="AT251" s="224"/>
      <c r="AU251" s="224"/>
      <c r="AV251" s="224"/>
      <c r="AW251" s="224"/>
      <c r="AX251" s="224"/>
      <c r="AY251" s="224"/>
      <c r="AZ251" s="224"/>
      <c r="BA251" s="224"/>
      <c r="BB251" s="224"/>
      <c r="BC251" s="224"/>
      <c r="BD251" s="224"/>
      <c r="BE251" s="224"/>
      <c r="BF251" s="224"/>
      <c r="BG251" s="224"/>
      <c r="BH251" s="224"/>
      <c r="BI251" s="224"/>
      <c r="BJ251" s="224"/>
      <c r="BK251" s="224"/>
      <c r="BL251" s="224"/>
      <c r="BM251" s="224"/>
      <c r="BN251" s="224"/>
      <c r="BO251" s="224"/>
      <c r="BP251" s="224"/>
      <c r="BQ251" s="224"/>
      <c r="BR251" s="224"/>
      <c r="BS251" s="224"/>
      <c r="BT251" s="224"/>
      <c r="BU251" s="224"/>
      <c r="BV251" s="224"/>
    </row>
    <row r="252" spans="2:74" x14ac:dyDescent="0.2">
      <c r="B252" s="210"/>
      <c r="C252" s="203"/>
      <c r="D252" s="203"/>
      <c r="E252" s="261"/>
      <c r="F252" s="224"/>
      <c r="G252" s="224"/>
      <c r="H252" s="224"/>
      <c r="I252" s="224"/>
      <c r="J252" s="224"/>
      <c r="K252" s="224"/>
      <c r="L252" s="224"/>
      <c r="M252" s="224"/>
      <c r="N252" s="224"/>
      <c r="O252" s="224"/>
      <c r="P252" s="224"/>
      <c r="Q252" s="224"/>
      <c r="R252" s="224"/>
      <c r="S252" s="224"/>
      <c r="T252" s="224"/>
      <c r="U252" s="224"/>
      <c r="V252" s="224"/>
      <c r="W252" s="224"/>
      <c r="X252" s="224"/>
      <c r="Y252" s="224"/>
      <c r="Z252" s="224"/>
      <c r="AA252" s="224"/>
      <c r="AB252" s="224"/>
      <c r="AC252" s="224"/>
      <c r="AD252" s="224"/>
      <c r="AE252" s="224"/>
      <c r="AF252" s="224"/>
      <c r="AG252" s="224"/>
      <c r="AH252" s="224"/>
      <c r="AI252" s="224"/>
      <c r="AJ252" s="224"/>
      <c r="AK252" s="224"/>
      <c r="AL252" s="224"/>
      <c r="AM252" s="224"/>
      <c r="AN252" s="224"/>
      <c r="AO252" s="224"/>
      <c r="AP252" s="224"/>
      <c r="AQ252" s="224"/>
      <c r="AR252" s="224"/>
      <c r="AS252" s="224"/>
      <c r="AT252" s="224"/>
      <c r="AU252" s="224"/>
      <c r="AV252" s="224"/>
      <c r="AW252" s="224"/>
      <c r="AX252" s="224"/>
      <c r="AY252" s="224"/>
      <c r="AZ252" s="224"/>
      <c r="BA252" s="224"/>
      <c r="BB252" s="224"/>
      <c r="BC252" s="224"/>
      <c r="BD252" s="224"/>
      <c r="BE252" s="224"/>
      <c r="BF252" s="224"/>
      <c r="BG252" s="224"/>
      <c r="BH252" s="224"/>
      <c r="BI252" s="224"/>
      <c r="BJ252" s="224"/>
      <c r="BK252" s="224"/>
      <c r="BL252" s="224"/>
      <c r="BM252" s="224"/>
      <c r="BN252" s="224"/>
      <c r="BO252" s="224"/>
      <c r="BP252" s="224"/>
      <c r="BQ252" s="224"/>
      <c r="BR252" s="224"/>
      <c r="BS252" s="224"/>
      <c r="BT252" s="224"/>
      <c r="BU252" s="224"/>
      <c r="BV252" s="224"/>
    </row>
    <row r="253" spans="2:74" x14ac:dyDescent="0.2">
      <c r="B253" s="210"/>
      <c r="C253" s="203"/>
      <c r="D253" s="203"/>
      <c r="E253" s="261"/>
      <c r="F253" s="224"/>
      <c r="G253" s="224"/>
      <c r="H253" s="224"/>
      <c r="I253" s="224"/>
      <c r="J253" s="224"/>
      <c r="K253" s="224"/>
      <c r="L253" s="224"/>
      <c r="M253" s="224"/>
      <c r="N253" s="224"/>
      <c r="O253" s="224"/>
      <c r="P253" s="224"/>
      <c r="Q253" s="224"/>
      <c r="R253" s="224"/>
      <c r="S253" s="224"/>
      <c r="T253" s="224"/>
      <c r="U253" s="224"/>
      <c r="V253" s="224"/>
      <c r="W253" s="224"/>
      <c r="X253" s="224"/>
      <c r="Y253" s="224"/>
      <c r="Z253" s="224"/>
      <c r="AA253" s="224"/>
      <c r="AB253" s="224"/>
      <c r="AC253" s="224"/>
      <c r="AD253" s="224"/>
      <c r="AE253" s="224"/>
      <c r="AF253" s="224"/>
      <c r="AG253" s="224"/>
      <c r="AH253" s="224"/>
      <c r="AI253" s="224"/>
      <c r="AJ253" s="224"/>
      <c r="AK253" s="224"/>
      <c r="AL253" s="224"/>
      <c r="AM253" s="224"/>
      <c r="AN253" s="224"/>
      <c r="AO253" s="224"/>
      <c r="AP253" s="224"/>
      <c r="AQ253" s="224"/>
      <c r="AR253" s="224"/>
      <c r="AS253" s="224"/>
      <c r="AT253" s="224"/>
      <c r="AU253" s="224"/>
      <c r="AV253" s="224"/>
      <c r="AW253" s="224"/>
      <c r="AX253" s="224"/>
      <c r="AY253" s="224"/>
      <c r="AZ253" s="224"/>
      <c r="BA253" s="224"/>
      <c r="BB253" s="224"/>
      <c r="BC253" s="224"/>
      <c r="BD253" s="224"/>
      <c r="BE253" s="224"/>
      <c r="BF253" s="224"/>
      <c r="BG253" s="224"/>
      <c r="BH253" s="224"/>
      <c r="BI253" s="224"/>
      <c r="BJ253" s="224"/>
      <c r="BK253" s="224"/>
      <c r="BL253" s="224"/>
      <c r="BM253" s="224"/>
      <c r="BN253" s="224"/>
      <c r="BO253" s="224"/>
      <c r="BP253" s="224"/>
      <c r="BQ253" s="224"/>
      <c r="BR253" s="224"/>
      <c r="BS253" s="224"/>
      <c r="BT253" s="224"/>
      <c r="BU253" s="224"/>
      <c r="BV253" s="224"/>
    </row>
    <row r="254" spans="2:74" x14ac:dyDescent="0.2">
      <c r="B254" s="210"/>
      <c r="C254" s="203"/>
      <c r="D254" s="203"/>
      <c r="E254" s="261"/>
      <c r="F254" s="224"/>
      <c r="G254" s="224"/>
      <c r="H254" s="224"/>
      <c r="I254" s="224"/>
      <c r="J254" s="224"/>
      <c r="K254" s="224"/>
      <c r="L254" s="224"/>
      <c r="M254" s="224"/>
      <c r="N254" s="224"/>
      <c r="O254" s="224"/>
      <c r="P254" s="224"/>
      <c r="Q254" s="224"/>
      <c r="R254" s="224"/>
      <c r="S254" s="224"/>
      <c r="T254" s="224"/>
      <c r="U254" s="224"/>
      <c r="V254" s="224"/>
      <c r="W254" s="224"/>
      <c r="X254" s="224"/>
      <c r="Y254" s="224"/>
      <c r="Z254" s="224"/>
      <c r="AA254" s="224"/>
      <c r="AB254" s="224"/>
      <c r="AC254" s="224"/>
      <c r="AD254" s="224"/>
      <c r="AE254" s="224"/>
      <c r="AF254" s="224"/>
      <c r="AG254" s="224"/>
      <c r="AH254" s="224"/>
      <c r="AI254" s="224"/>
      <c r="AJ254" s="224"/>
      <c r="AK254" s="224"/>
      <c r="AL254" s="224"/>
      <c r="AM254" s="224"/>
      <c r="AN254" s="224"/>
      <c r="AO254" s="224"/>
      <c r="AP254" s="224"/>
      <c r="AQ254" s="224"/>
      <c r="AR254" s="224"/>
      <c r="AS254" s="224"/>
      <c r="AT254" s="224"/>
      <c r="AU254" s="224"/>
      <c r="AV254" s="224"/>
      <c r="AW254" s="224"/>
      <c r="AX254" s="224"/>
      <c r="AY254" s="224"/>
      <c r="AZ254" s="224"/>
      <c r="BA254" s="224"/>
      <c r="BB254" s="224"/>
      <c r="BC254" s="224"/>
      <c r="BD254" s="224"/>
      <c r="BE254" s="224"/>
      <c r="BF254" s="224"/>
      <c r="BG254" s="224"/>
      <c r="BH254" s="224"/>
      <c r="BI254" s="224"/>
      <c r="BJ254" s="224"/>
      <c r="BK254" s="224"/>
      <c r="BL254" s="224"/>
      <c r="BM254" s="224"/>
      <c r="BN254" s="224"/>
      <c r="BO254" s="224"/>
      <c r="BP254" s="224"/>
      <c r="BQ254" s="224"/>
      <c r="BR254" s="224"/>
      <c r="BS254" s="224"/>
      <c r="BT254" s="224"/>
      <c r="BU254" s="224"/>
      <c r="BV254" s="224"/>
    </row>
    <row r="255" spans="2:74" x14ac:dyDescent="0.2">
      <c r="B255" s="210"/>
      <c r="C255" s="203"/>
      <c r="D255" s="203"/>
      <c r="E255" s="261"/>
      <c r="F255" s="224"/>
      <c r="G255" s="224"/>
      <c r="H255" s="224"/>
      <c r="I255" s="224"/>
      <c r="J255" s="224"/>
      <c r="K255" s="224"/>
      <c r="L255" s="224"/>
      <c r="M255" s="224"/>
      <c r="N255" s="224"/>
      <c r="O255" s="224"/>
      <c r="P255" s="224"/>
      <c r="Q255" s="224"/>
      <c r="R255" s="224"/>
      <c r="S255" s="224"/>
      <c r="T255" s="224"/>
      <c r="U255" s="224"/>
      <c r="V255" s="224"/>
      <c r="W255" s="224"/>
      <c r="X255" s="224"/>
      <c r="Y255" s="224"/>
      <c r="Z255" s="224"/>
      <c r="AA255" s="224"/>
      <c r="AB255" s="224"/>
      <c r="AC255" s="224"/>
      <c r="AD255" s="224"/>
      <c r="AE255" s="224"/>
      <c r="AF255" s="224"/>
      <c r="AG255" s="224"/>
      <c r="AH255" s="224"/>
      <c r="AI255" s="224"/>
      <c r="AJ255" s="224"/>
      <c r="AK255" s="224"/>
      <c r="AL255" s="224"/>
      <c r="AM255" s="224"/>
      <c r="AN255" s="224"/>
      <c r="AO255" s="224"/>
      <c r="AP255" s="224"/>
      <c r="AQ255" s="224"/>
      <c r="AR255" s="224"/>
      <c r="AS255" s="224"/>
      <c r="AT255" s="224"/>
      <c r="AU255" s="224"/>
      <c r="AV255" s="224"/>
      <c r="AW255" s="224"/>
      <c r="AX255" s="224"/>
      <c r="AY255" s="224"/>
      <c r="AZ255" s="224"/>
      <c r="BA255" s="224"/>
      <c r="BB255" s="224"/>
      <c r="BC255" s="224"/>
      <c r="BD255" s="224"/>
      <c r="BE255" s="224"/>
      <c r="BF255" s="224"/>
      <c r="BG255" s="224"/>
      <c r="BH255" s="224"/>
      <c r="BI255" s="224"/>
      <c r="BJ255" s="224"/>
      <c r="BK255" s="224"/>
      <c r="BL255" s="224"/>
      <c r="BM255" s="224"/>
      <c r="BN255" s="224"/>
      <c r="BO255" s="224"/>
      <c r="BP255" s="224"/>
      <c r="BQ255" s="224"/>
      <c r="BR255" s="224"/>
      <c r="BS255" s="224"/>
      <c r="BT255" s="224"/>
      <c r="BU255" s="224"/>
      <c r="BV255" s="224"/>
    </row>
    <row r="256" spans="2:74" x14ac:dyDescent="0.2">
      <c r="B256" s="210"/>
      <c r="C256" s="203"/>
      <c r="D256" s="203"/>
      <c r="E256" s="261"/>
      <c r="F256" s="224"/>
      <c r="G256" s="224"/>
      <c r="H256" s="224"/>
      <c r="I256" s="224"/>
      <c r="J256" s="224"/>
      <c r="K256" s="224"/>
      <c r="L256" s="224"/>
      <c r="M256" s="224"/>
      <c r="N256" s="224"/>
      <c r="O256" s="224"/>
      <c r="P256" s="224"/>
      <c r="Q256" s="224"/>
      <c r="R256" s="224"/>
      <c r="S256" s="224"/>
      <c r="T256" s="224"/>
      <c r="U256" s="224"/>
      <c r="V256" s="224"/>
      <c r="W256" s="224"/>
      <c r="X256" s="224"/>
      <c r="Y256" s="224"/>
      <c r="Z256" s="224"/>
      <c r="AA256" s="224"/>
      <c r="AB256" s="224"/>
      <c r="AC256" s="224"/>
      <c r="AD256" s="224"/>
      <c r="AE256" s="224"/>
      <c r="AF256" s="224"/>
      <c r="AG256" s="224"/>
      <c r="AH256" s="224"/>
      <c r="AI256" s="224"/>
      <c r="AJ256" s="224"/>
      <c r="AK256" s="224"/>
      <c r="AL256" s="224"/>
      <c r="AM256" s="224"/>
      <c r="AN256" s="224"/>
      <c r="AO256" s="224"/>
      <c r="AP256" s="224"/>
      <c r="AQ256" s="224"/>
      <c r="AR256" s="224"/>
      <c r="AS256" s="224"/>
      <c r="AT256" s="224"/>
      <c r="AU256" s="224"/>
      <c r="AV256" s="224"/>
      <c r="AW256" s="224"/>
      <c r="AX256" s="224"/>
      <c r="AY256" s="224"/>
      <c r="AZ256" s="224"/>
      <c r="BA256" s="224"/>
      <c r="BB256" s="224"/>
      <c r="BC256" s="224"/>
      <c r="BD256" s="224"/>
      <c r="BE256" s="224"/>
      <c r="BF256" s="224"/>
      <c r="BG256" s="224"/>
      <c r="BH256" s="224"/>
      <c r="BI256" s="224"/>
      <c r="BJ256" s="224"/>
      <c r="BK256" s="224"/>
      <c r="BL256" s="224"/>
      <c r="BM256" s="224"/>
      <c r="BN256" s="224"/>
      <c r="BO256" s="224"/>
      <c r="BP256" s="224"/>
      <c r="BQ256" s="224"/>
      <c r="BR256" s="224"/>
      <c r="BS256" s="224"/>
      <c r="BT256" s="224"/>
      <c r="BU256" s="224"/>
      <c r="BV256" s="224"/>
    </row>
    <row r="257" spans="2:74" x14ac:dyDescent="0.2">
      <c r="B257" s="210"/>
      <c r="C257" s="203"/>
      <c r="D257" s="203"/>
      <c r="E257" s="261"/>
      <c r="F257" s="224"/>
      <c r="G257" s="224"/>
      <c r="H257" s="224"/>
      <c r="I257" s="224"/>
      <c r="J257" s="224"/>
      <c r="K257" s="224"/>
      <c r="L257" s="224"/>
      <c r="M257" s="224"/>
      <c r="N257" s="224"/>
      <c r="O257" s="224"/>
      <c r="P257" s="224"/>
      <c r="Q257" s="224"/>
      <c r="R257" s="224"/>
      <c r="S257" s="224"/>
      <c r="T257" s="224"/>
      <c r="U257" s="224"/>
      <c r="V257" s="224"/>
      <c r="W257" s="224"/>
      <c r="X257" s="224"/>
      <c r="Y257" s="224"/>
      <c r="Z257" s="224"/>
      <c r="AA257" s="224"/>
      <c r="AB257" s="224"/>
      <c r="AC257" s="224"/>
      <c r="AD257" s="224"/>
      <c r="AE257" s="224"/>
      <c r="AF257" s="224"/>
      <c r="AG257" s="224"/>
      <c r="AH257" s="224"/>
      <c r="AI257" s="224"/>
      <c r="AJ257" s="224"/>
      <c r="AK257" s="224"/>
      <c r="AL257" s="224"/>
      <c r="AM257" s="224"/>
      <c r="AN257" s="224"/>
      <c r="AO257" s="224"/>
      <c r="AP257" s="224"/>
      <c r="AQ257" s="224"/>
      <c r="AR257" s="224"/>
      <c r="AS257" s="224"/>
      <c r="AT257" s="224"/>
      <c r="AU257" s="224"/>
      <c r="AV257" s="224"/>
      <c r="AW257" s="224"/>
      <c r="AX257" s="224"/>
      <c r="AY257" s="224"/>
      <c r="AZ257" s="224"/>
      <c r="BA257" s="224"/>
      <c r="BB257" s="224"/>
      <c r="BC257" s="224"/>
      <c r="BD257" s="224"/>
      <c r="BE257" s="224"/>
      <c r="BF257" s="224"/>
      <c r="BG257" s="224"/>
      <c r="BH257" s="224"/>
      <c r="BI257" s="224"/>
      <c r="BJ257" s="224"/>
      <c r="BK257" s="224"/>
      <c r="BL257" s="224"/>
      <c r="BM257" s="224"/>
      <c r="BN257" s="224"/>
      <c r="BO257" s="224"/>
      <c r="BP257" s="224"/>
      <c r="BQ257" s="224"/>
      <c r="BR257" s="224"/>
      <c r="BS257" s="224"/>
      <c r="BT257" s="224"/>
      <c r="BU257" s="224"/>
      <c r="BV257" s="224"/>
    </row>
    <row r="258" spans="2:74" x14ac:dyDescent="0.2">
      <c r="B258" s="210"/>
      <c r="C258" s="203"/>
      <c r="D258" s="203"/>
      <c r="E258" s="261"/>
      <c r="F258" s="224"/>
      <c r="G258" s="224"/>
      <c r="H258" s="224"/>
      <c r="I258" s="224"/>
      <c r="J258" s="224"/>
      <c r="K258" s="224"/>
      <c r="L258" s="224"/>
      <c r="M258" s="224"/>
      <c r="N258" s="224"/>
      <c r="O258" s="224"/>
      <c r="P258" s="224"/>
      <c r="Q258" s="224"/>
      <c r="R258" s="224"/>
      <c r="S258" s="224"/>
      <c r="T258" s="224"/>
      <c r="U258" s="224"/>
      <c r="V258" s="224"/>
      <c r="W258" s="224"/>
      <c r="X258" s="224"/>
      <c r="Y258" s="224"/>
      <c r="Z258" s="224"/>
      <c r="AA258" s="224"/>
      <c r="AB258" s="224"/>
      <c r="AC258" s="224"/>
      <c r="AD258" s="224"/>
      <c r="AE258" s="224"/>
      <c r="AF258" s="224"/>
      <c r="AG258" s="224"/>
      <c r="AH258" s="224"/>
      <c r="AI258" s="224"/>
      <c r="AJ258" s="224"/>
      <c r="AK258" s="224"/>
      <c r="AL258" s="224"/>
      <c r="AM258" s="224"/>
      <c r="AN258" s="224"/>
      <c r="AO258" s="224"/>
      <c r="AP258" s="224"/>
      <c r="AQ258" s="224"/>
      <c r="AR258" s="224"/>
      <c r="AS258" s="224"/>
      <c r="AT258" s="224"/>
      <c r="AU258" s="224"/>
      <c r="AV258" s="224"/>
      <c r="AW258" s="224"/>
      <c r="AX258" s="224"/>
      <c r="AY258" s="224"/>
      <c r="AZ258" s="224"/>
      <c r="BA258" s="224"/>
      <c r="BB258" s="224"/>
      <c r="BC258" s="224"/>
      <c r="BD258" s="224"/>
      <c r="BE258" s="224"/>
      <c r="BF258" s="224"/>
      <c r="BG258" s="224"/>
      <c r="BH258" s="224"/>
      <c r="BI258" s="224"/>
      <c r="BJ258" s="224"/>
      <c r="BK258" s="224"/>
      <c r="BL258" s="224"/>
      <c r="BM258" s="224"/>
      <c r="BN258" s="224"/>
      <c r="BO258" s="224"/>
      <c r="BP258" s="224"/>
      <c r="BQ258" s="224"/>
      <c r="BR258" s="224"/>
      <c r="BS258" s="224"/>
      <c r="BT258" s="224"/>
      <c r="BU258" s="224"/>
      <c r="BV258" s="224"/>
    </row>
    <row r="259" spans="2:74" x14ac:dyDescent="0.2">
      <c r="B259" s="210"/>
      <c r="C259" s="210"/>
      <c r="D259" s="210"/>
      <c r="E259" s="261"/>
      <c r="F259" s="224"/>
      <c r="G259" s="224"/>
      <c r="H259" s="224"/>
      <c r="I259" s="224"/>
      <c r="J259" s="224"/>
      <c r="K259" s="224"/>
      <c r="L259" s="224"/>
      <c r="M259" s="224"/>
      <c r="N259" s="224"/>
      <c r="O259" s="224"/>
      <c r="P259" s="224"/>
      <c r="Q259" s="224"/>
      <c r="R259" s="224"/>
      <c r="S259" s="224"/>
      <c r="T259" s="224"/>
      <c r="U259" s="224"/>
      <c r="V259" s="224"/>
      <c r="W259" s="224"/>
      <c r="X259" s="224"/>
      <c r="Y259" s="224"/>
      <c r="Z259" s="224"/>
      <c r="AA259" s="224"/>
      <c r="AB259" s="224"/>
      <c r="AC259" s="224"/>
      <c r="AD259" s="224"/>
      <c r="AE259" s="224"/>
      <c r="AF259" s="224"/>
      <c r="AG259" s="224"/>
      <c r="AH259" s="224"/>
      <c r="AI259" s="224"/>
      <c r="AJ259" s="224"/>
      <c r="AK259" s="224"/>
      <c r="AL259" s="224"/>
      <c r="AM259" s="224"/>
      <c r="AN259" s="224"/>
      <c r="AO259" s="224"/>
      <c r="AP259" s="224"/>
      <c r="AQ259" s="224"/>
      <c r="AR259" s="224"/>
      <c r="AS259" s="224"/>
      <c r="AT259" s="224"/>
      <c r="AU259" s="224"/>
      <c r="AV259" s="224"/>
      <c r="AW259" s="224"/>
      <c r="AX259" s="224"/>
      <c r="AY259" s="224"/>
      <c r="AZ259" s="224"/>
      <c r="BA259" s="224"/>
      <c r="BB259" s="224"/>
      <c r="BC259" s="224"/>
      <c r="BD259" s="224"/>
      <c r="BE259" s="224"/>
      <c r="BF259" s="224"/>
      <c r="BG259" s="224"/>
      <c r="BH259" s="224"/>
      <c r="BI259" s="224"/>
      <c r="BJ259" s="224"/>
      <c r="BK259" s="224"/>
      <c r="BL259" s="224"/>
      <c r="BM259" s="224"/>
      <c r="BN259" s="224"/>
      <c r="BO259" s="224"/>
      <c r="BP259" s="224"/>
      <c r="BQ259" s="224"/>
      <c r="BR259" s="224"/>
      <c r="BS259" s="224"/>
      <c r="BT259" s="224"/>
      <c r="BU259" s="224"/>
      <c r="BV259" s="224"/>
    </row>
    <row r="260" spans="2:74" x14ac:dyDescent="0.2">
      <c r="B260" s="210"/>
      <c r="C260" s="203"/>
      <c r="D260" s="203"/>
      <c r="E260" s="261"/>
      <c r="F260" s="224"/>
      <c r="G260" s="224"/>
      <c r="H260" s="224"/>
      <c r="I260" s="224"/>
      <c r="J260" s="224"/>
      <c r="K260" s="224"/>
      <c r="L260" s="224"/>
      <c r="M260" s="224"/>
      <c r="N260" s="224"/>
      <c r="O260" s="224"/>
      <c r="P260" s="224"/>
      <c r="Q260" s="224"/>
      <c r="R260" s="224"/>
      <c r="S260" s="224"/>
      <c r="T260" s="224"/>
      <c r="U260" s="224"/>
      <c r="V260" s="224"/>
      <c r="W260" s="224"/>
      <c r="X260" s="224"/>
      <c r="Y260" s="224"/>
      <c r="Z260" s="224"/>
      <c r="AA260" s="224"/>
      <c r="AB260" s="224"/>
      <c r="AC260" s="224"/>
      <c r="AD260" s="224"/>
      <c r="AE260" s="224"/>
      <c r="AF260" s="224"/>
      <c r="AG260" s="224"/>
      <c r="AH260" s="224"/>
      <c r="AI260" s="224"/>
      <c r="AJ260" s="224"/>
      <c r="AK260" s="224"/>
      <c r="AL260" s="224"/>
      <c r="AM260" s="224"/>
      <c r="AN260" s="224"/>
      <c r="AO260" s="224"/>
      <c r="AP260" s="224"/>
      <c r="AQ260" s="224"/>
      <c r="AR260" s="224"/>
      <c r="AS260" s="224"/>
      <c r="AT260" s="224"/>
      <c r="AU260" s="224"/>
      <c r="AV260" s="224"/>
      <c r="AW260" s="224"/>
      <c r="AX260" s="224"/>
      <c r="AY260" s="224"/>
      <c r="AZ260" s="224"/>
      <c r="BA260" s="224"/>
      <c r="BB260" s="224"/>
      <c r="BC260" s="224"/>
      <c r="BD260" s="224"/>
      <c r="BE260" s="224"/>
      <c r="BF260" s="224"/>
      <c r="BG260" s="224"/>
      <c r="BH260" s="224"/>
      <c r="BI260" s="224"/>
      <c r="BJ260" s="224"/>
      <c r="BK260" s="224"/>
      <c r="BL260" s="224"/>
      <c r="BM260" s="224"/>
      <c r="BN260" s="224"/>
      <c r="BO260" s="224"/>
      <c r="BP260" s="224"/>
      <c r="BQ260" s="224"/>
      <c r="BR260" s="224"/>
      <c r="BS260" s="224"/>
      <c r="BT260" s="224"/>
      <c r="BU260" s="224"/>
      <c r="BV260" s="224"/>
    </row>
    <row r="261" spans="2:74" x14ac:dyDescent="0.2">
      <c r="C261" s="203"/>
      <c r="D261" s="203"/>
      <c r="E261" s="261"/>
      <c r="F261" s="224"/>
      <c r="G261" s="224"/>
      <c r="H261" s="224"/>
      <c r="I261" s="224"/>
      <c r="J261" s="224"/>
      <c r="K261" s="224"/>
      <c r="L261" s="224"/>
      <c r="M261" s="224"/>
      <c r="N261" s="224"/>
      <c r="O261" s="224"/>
      <c r="P261" s="224"/>
      <c r="Q261" s="224"/>
      <c r="R261" s="224"/>
      <c r="S261" s="224"/>
      <c r="T261" s="224"/>
      <c r="U261" s="224"/>
      <c r="V261" s="224"/>
      <c r="W261" s="224"/>
      <c r="X261" s="224"/>
      <c r="Y261" s="224"/>
      <c r="Z261" s="224"/>
      <c r="AA261" s="224"/>
      <c r="AB261" s="224"/>
      <c r="AC261" s="224"/>
      <c r="AD261" s="224"/>
      <c r="AE261" s="224"/>
      <c r="AF261" s="224"/>
      <c r="AG261" s="224"/>
      <c r="AH261" s="224"/>
      <c r="AI261" s="224"/>
      <c r="AJ261" s="224"/>
      <c r="AK261" s="224"/>
      <c r="AL261" s="224"/>
      <c r="AM261" s="224"/>
      <c r="AN261" s="224"/>
      <c r="AO261" s="224"/>
      <c r="AP261" s="224"/>
      <c r="AQ261" s="224"/>
      <c r="AR261" s="224"/>
      <c r="AS261" s="224"/>
      <c r="AT261" s="224"/>
      <c r="AU261" s="224"/>
      <c r="AV261" s="224"/>
      <c r="AW261" s="224"/>
      <c r="AX261" s="224"/>
      <c r="AY261" s="224"/>
      <c r="AZ261" s="224"/>
      <c r="BA261" s="224"/>
      <c r="BB261" s="224"/>
      <c r="BC261" s="224"/>
      <c r="BD261" s="224"/>
      <c r="BE261" s="224"/>
      <c r="BF261" s="224"/>
      <c r="BG261" s="224"/>
      <c r="BH261" s="224"/>
      <c r="BI261" s="224"/>
      <c r="BJ261" s="224"/>
      <c r="BK261" s="224"/>
      <c r="BL261" s="224"/>
      <c r="BM261" s="224"/>
      <c r="BN261" s="224"/>
      <c r="BO261" s="224"/>
      <c r="BP261" s="224"/>
      <c r="BQ261" s="224"/>
      <c r="BR261" s="224"/>
      <c r="BS261" s="224"/>
      <c r="BT261" s="224"/>
      <c r="BU261" s="224"/>
      <c r="BV261" s="224"/>
    </row>
    <row r="262" spans="2:74" x14ac:dyDescent="0.2">
      <c r="B262" s="210"/>
      <c r="C262" s="203"/>
      <c r="D262" s="203"/>
      <c r="E262" s="261"/>
      <c r="F262" s="224"/>
      <c r="G262" s="224"/>
      <c r="H262" s="224"/>
      <c r="I262" s="224"/>
      <c r="J262" s="224"/>
      <c r="K262" s="224"/>
      <c r="L262" s="224"/>
      <c r="M262" s="224"/>
      <c r="N262" s="224"/>
      <c r="O262" s="224"/>
      <c r="P262" s="224"/>
      <c r="Q262" s="224"/>
      <c r="R262" s="224"/>
      <c r="S262" s="224"/>
      <c r="T262" s="224"/>
      <c r="U262" s="224"/>
      <c r="V262" s="224"/>
      <c r="W262" s="224"/>
      <c r="X262" s="224"/>
      <c r="Y262" s="224"/>
      <c r="Z262" s="224"/>
      <c r="AA262" s="224"/>
      <c r="AB262" s="224"/>
      <c r="AC262" s="224"/>
      <c r="AD262" s="224"/>
      <c r="AE262" s="224"/>
      <c r="AF262" s="224"/>
      <c r="AG262" s="224"/>
      <c r="AH262" s="224"/>
      <c r="AI262" s="224"/>
      <c r="AJ262" s="224"/>
      <c r="AK262" s="224"/>
      <c r="AL262" s="224"/>
      <c r="AM262" s="224"/>
      <c r="AN262" s="224"/>
      <c r="AO262" s="224"/>
      <c r="AP262" s="224"/>
      <c r="AQ262" s="224"/>
      <c r="AR262" s="224"/>
      <c r="AS262" s="224"/>
      <c r="AT262" s="224"/>
      <c r="AU262" s="224"/>
      <c r="AV262" s="224"/>
      <c r="AW262" s="224"/>
      <c r="AX262" s="224"/>
      <c r="AY262" s="224"/>
      <c r="AZ262" s="224"/>
      <c r="BA262" s="224"/>
      <c r="BB262" s="224"/>
      <c r="BC262" s="224"/>
      <c r="BD262" s="224"/>
      <c r="BE262" s="224"/>
      <c r="BF262" s="224"/>
      <c r="BG262" s="224"/>
      <c r="BH262" s="224"/>
      <c r="BI262" s="224"/>
      <c r="BJ262" s="224"/>
      <c r="BK262" s="224"/>
      <c r="BL262" s="224"/>
      <c r="BM262" s="224"/>
      <c r="BN262" s="224"/>
      <c r="BO262" s="224"/>
      <c r="BP262" s="224"/>
      <c r="BQ262" s="224"/>
      <c r="BR262" s="224"/>
      <c r="BS262" s="224"/>
      <c r="BT262" s="224"/>
      <c r="BU262" s="224"/>
      <c r="BV262" s="224"/>
    </row>
    <row r="263" spans="2:74" x14ac:dyDescent="0.2">
      <c r="B263" s="210"/>
      <c r="C263" s="203"/>
      <c r="D263" s="203"/>
      <c r="E263" s="261"/>
      <c r="F263" s="224"/>
      <c r="G263" s="224"/>
      <c r="H263" s="224"/>
      <c r="I263" s="224"/>
      <c r="J263" s="224"/>
      <c r="K263" s="224"/>
      <c r="L263" s="224"/>
      <c r="M263" s="224"/>
      <c r="N263" s="224"/>
      <c r="O263" s="224"/>
      <c r="P263" s="224"/>
      <c r="Q263" s="224"/>
      <c r="R263" s="224"/>
      <c r="S263" s="224"/>
      <c r="T263" s="224"/>
      <c r="U263" s="224"/>
      <c r="V263" s="224"/>
      <c r="W263" s="224"/>
      <c r="X263" s="224"/>
      <c r="Y263" s="224"/>
      <c r="Z263" s="224"/>
      <c r="AA263" s="224"/>
      <c r="AB263" s="224"/>
      <c r="AC263" s="224"/>
      <c r="AD263" s="224"/>
      <c r="AE263" s="224"/>
      <c r="AF263" s="224"/>
      <c r="AG263" s="224"/>
      <c r="AH263" s="224"/>
      <c r="AI263" s="224"/>
      <c r="AJ263" s="224"/>
      <c r="AK263" s="224"/>
      <c r="AL263" s="224"/>
      <c r="AM263" s="224"/>
      <c r="AN263" s="224"/>
      <c r="AO263" s="224"/>
      <c r="AP263" s="224"/>
      <c r="AQ263" s="224"/>
      <c r="AR263" s="224"/>
      <c r="AS263" s="224"/>
      <c r="AT263" s="224"/>
      <c r="AU263" s="224"/>
      <c r="AV263" s="224"/>
      <c r="AW263" s="224"/>
      <c r="AX263" s="224"/>
      <c r="AY263" s="224"/>
      <c r="AZ263" s="224"/>
      <c r="BA263" s="224"/>
      <c r="BB263" s="224"/>
      <c r="BC263" s="224"/>
      <c r="BD263" s="224"/>
      <c r="BE263" s="224"/>
      <c r="BF263" s="224"/>
      <c r="BG263" s="224"/>
      <c r="BH263" s="224"/>
      <c r="BI263" s="224"/>
      <c r="BJ263" s="224"/>
      <c r="BK263" s="224"/>
      <c r="BL263" s="224"/>
      <c r="BM263" s="224"/>
      <c r="BN263" s="224"/>
      <c r="BO263" s="224"/>
      <c r="BP263" s="224"/>
      <c r="BQ263" s="224"/>
      <c r="BR263" s="224"/>
      <c r="BS263" s="224"/>
      <c r="BT263" s="224"/>
      <c r="BU263" s="224"/>
      <c r="BV263" s="224"/>
    </row>
    <row r="264" spans="2:74" x14ac:dyDescent="0.2">
      <c r="B264" s="210"/>
      <c r="C264" s="203"/>
      <c r="D264" s="203"/>
      <c r="E264" s="261"/>
      <c r="F264" s="224"/>
      <c r="G264" s="224"/>
      <c r="H264" s="224"/>
      <c r="I264" s="224"/>
      <c r="J264" s="224"/>
      <c r="K264" s="224"/>
      <c r="L264" s="224"/>
      <c r="M264" s="224"/>
      <c r="N264" s="224"/>
      <c r="O264" s="224"/>
      <c r="P264" s="224"/>
      <c r="Q264" s="224"/>
      <c r="R264" s="224"/>
      <c r="S264" s="224"/>
      <c r="T264" s="224"/>
      <c r="U264" s="224"/>
      <c r="V264" s="224"/>
      <c r="W264" s="224"/>
      <c r="X264" s="224"/>
      <c r="Y264" s="224"/>
      <c r="Z264" s="224"/>
      <c r="AA264" s="224"/>
      <c r="AB264" s="224"/>
      <c r="AC264" s="224"/>
      <c r="AD264" s="224"/>
      <c r="AE264" s="224"/>
      <c r="AF264" s="224"/>
      <c r="AG264" s="224"/>
      <c r="AH264" s="224"/>
      <c r="AI264" s="224"/>
      <c r="AJ264" s="224"/>
      <c r="AK264" s="224"/>
      <c r="AL264" s="224"/>
      <c r="AM264" s="224"/>
      <c r="AN264" s="224"/>
      <c r="AO264" s="224"/>
      <c r="AP264" s="224"/>
      <c r="AQ264" s="224"/>
      <c r="AR264" s="224"/>
      <c r="AS264" s="224"/>
      <c r="AT264" s="224"/>
      <c r="AU264" s="224"/>
      <c r="AV264" s="224"/>
      <c r="AW264" s="224"/>
      <c r="AX264" s="224"/>
      <c r="AY264" s="224"/>
      <c r="AZ264" s="224"/>
      <c r="BA264" s="224"/>
      <c r="BB264" s="224"/>
      <c r="BC264" s="224"/>
      <c r="BD264" s="224"/>
      <c r="BE264" s="224"/>
      <c r="BF264" s="224"/>
      <c r="BG264" s="224"/>
      <c r="BH264" s="224"/>
      <c r="BI264" s="224"/>
      <c r="BJ264" s="224"/>
      <c r="BK264" s="224"/>
      <c r="BL264" s="224"/>
      <c r="BM264" s="224"/>
      <c r="BN264" s="224"/>
      <c r="BO264" s="224"/>
      <c r="BP264" s="224"/>
      <c r="BQ264" s="224"/>
      <c r="BR264" s="224"/>
      <c r="BS264" s="224"/>
      <c r="BT264" s="224"/>
      <c r="BU264" s="224"/>
      <c r="BV264" s="224"/>
    </row>
    <row r="265" spans="2:74" x14ac:dyDescent="0.2">
      <c r="B265" s="210"/>
      <c r="C265" s="203"/>
      <c r="D265" s="203"/>
      <c r="E265" s="261"/>
      <c r="F265" s="224"/>
      <c r="G265" s="224"/>
      <c r="H265" s="224"/>
      <c r="I265" s="224"/>
      <c r="J265" s="224"/>
      <c r="K265" s="224"/>
      <c r="L265" s="224"/>
      <c r="M265" s="224"/>
      <c r="N265" s="224"/>
      <c r="O265" s="224"/>
      <c r="P265" s="224"/>
      <c r="Q265" s="224"/>
      <c r="R265" s="224"/>
      <c r="S265" s="224"/>
      <c r="T265" s="224"/>
      <c r="U265" s="224"/>
      <c r="V265" s="224"/>
      <c r="W265" s="224"/>
      <c r="X265" s="224"/>
      <c r="Y265" s="224"/>
      <c r="Z265" s="224"/>
      <c r="AA265" s="224"/>
      <c r="AB265" s="224"/>
      <c r="AC265" s="224"/>
      <c r="AD265" s="224"/>
      <c r="AE265" s="224"/>
      <c r="AF265" s="224"/>
      <c r="AG265" s="224"/>
      <c r="AH265" s="224"/>
      <c r="AI265" s="224"/>
      <c r="AJ265" s="224"/>
      <c r="AK265" s="224"/>
      <c r="AL265" s="224"/>
      <c r="AM265" s="224"/>
      <c r="AN265" s="224"/>
      <c r="AO265" s="224"/>
      <c r="AP265" s="224"/>
      <c r="AQ265" s="224"/>
      <c r="AR265" s="224"/>
      <c r="AS265" s="224"/>
      <c r="AT265" s="224"/>
      <c r="AU265" s="224"/>
      <c r="AV265" s="224"/>
      <c r="AW265" s="224"/>
      <c r="AX265" s="224"/>
      <c r="AY265" s="224"/>
      <c r="AZ265" s="224"/>
      <c r="BA265" s="224"/>
      <c r="BB265" s="224"/>
      <c r="BC265" s="224"/>
      <c r="BD265" s="224"/>
      <c r="BE265" s="224"/>
      <c r="BF265" s="224"/>
      <c r="BG265" s="224"/>
      <c r="BH265" s="224"/>
      <c r="BI265" s="224"/>
      <c r="BJ265" s="224"/>
      <c r="BK265" s="224"/>
      <c r="BL265" s="224"/>
      <c r="BM265" s="224"/>
      <c r="BN265" s="224"/>
      <c r="BO265" s="224"/>
      <c r="BP265" s="224"/>
      <c r="BQ265" s="224"/>
      <c r="BR265" s="224"/>
      <c r="BS265" s="224"/>
      <c r="BT265" s="224"/>
      <c r="BU265" s="224"/>
      <c r="BV265" s="224"/>
    </row>
    <row r="266" spans="2:74" x14ac:dyDescent="0.2">
      <c r="B266" s="210"/>
      <c r="C266" s="203"/>
      <c r="D266" s="203"/>
      <c r="E266" s="261"/>
      <c r="F266" s="224"/>
      <c r="G266" s="224"/>
      <c r="H266" s="224"/>
      <c r="I266" s="224"/>
      <c r="J266" s="224"/>
      <c r="K266" s="224"/>
      <c r="L266" s="224"/>
      <c r="M266" s="224"/>
      <c r="N266" s="224"/>
      <c r="O266" s="224"/>
      <c r="P266" s="224"/>
      <c r="Q266" s="224"/>
      <c r="R266" s="224"/>
      <c r="S266" s="224"/>
      <c r="T266" s="224"/>
      <c r="U266" s="224"/>
      <c r="V266" s="224"/>
      <c r="W266" s="224"/>
      <c r="X266" s="224"/>
      <c r="Y266" s="224"/>
      <c r="Z266" s="224"/>
      <c r="AA266" s="224"/>
      <c r="AB266" s="224"/>
      <c r="AC266" s="224"/>
      <c r="AD266" s="224"/>
      <c r="AE266" s="224"/>
      <c r="AF266" s="224"/>
      <c r="AG266" s="224"/>
      <c r="AH266" s="224"/>
      <c r="AI266" s="224"/>
      <c r="AJ266" s="224"/>
      <c r="AK266" s="224"/>
      <c r="AL266" s="224"/>
      <c r="AM266" s="224"/>
      <c r="AN266" s="224"/>
      <c r="AO266" s="224"/>
      <c r="AP266" s="224"/>
      <c r="AQ266" s="224"/>
      <c r="AR266" s="224"/>
      <c r="AS266" s="224"/>
      <c r="AT266" s="224"/>
      <c r="AU266" s="224"/>
      <c r="AV266" s="224"/>
      <c r="AW266" s="224"/>
      <c r="AX266" s="224"/>
      <c r="AY266" s="224"/>
      <c r="AZ266" s="224"/>
      <c r="BA266" s="224"/>
      <c r="BB266" s="224"/>
      <c r="BC266" s="224"/>
      <c r="BD266" s="224"/>
      <c r="BE266" s="224"/>
      <c r="BF266" s="224"/>
      <c r="BG266" s="224"/>
      <c r="BH266" s="224"/>
      <c r="BI266" s="224"/>
      <c r="BJ266" s="224"/>
      <c r="BK266" s="224"/>
      <c r="BL266" s="224"/>
      <c r="BM266" s="224"/>
      <c r="BN266" s="224"/>
      <c r="BO266" s="224"/>
      <c r="BP266" s="224"/>
      <c r="BQ266" s="224"/>
      <c r="BR266" s="224"/>
      <c r="BS266" s="224"/>
      <c r="BT266" s="224"/>
      <c r="BU266" s="224"/>
      <c r="BV266" s="224"/>
    </row>
    <row r="267" spans="2:74" x14ac:dyDescent="0.2">
      <c r="B267" s="210"/>
      <c r="C267" s="203"/>
      <c r="D267" s="203"/>
      <c r="E267" s="261"/>
      <c r="F267" s="224"/>
      <c r="G267" s="224"/>
      <c r="H267" s="224"/>
      <c r="I267" s="224"/>
      <c r="J267" s="224"/>
      <c r="K267" s="224"/>
      <c r="L267" s="224"/>
      <c r="M267" s="224"/>
      <c r="N267" s="224"/>
      <c r="O267" s="224"/>
      <c r="P267" s="224"/>
      <c r="Q267" s="224"/>
      <c r="R267" s="224"/>
      <c r="S267" s="224"/>
      <c r="T267" s="224"/>
      <c r="U267" s="224"/>
      <c r="V267" s="224"/>
      <c r="W267" s="224"/>
      <c r="X267" s="224"/>
      <c r="Y267" s="224"/>
      <c r="Z267" s="224"/>
      <c r="AA267" s="224"/>
      <c r="AB267" s="224"/>
      <c r="AC267" s="224"/>
      <c r="AD267" s="224"/>
      <c r="AE267" s="224"/>
      <c r="AF267" s="224"/>
      <c r="AG267" s="224"/>
      <c r="AH267" s="224"/>
      <c r="AI267" s="224"/>
      <c r="AJ267" s="224"/>
      <c r="AK267" s="224"/>
      <c r="AL267" s="224"/>
      <c r="AM267" s="224"/>
      <c r="AN267" s="224"/>
      <c r="AO267" s="224"/>
      <c r="AP267" s="224"/>
      <c r="AQ267" s="224"/>
      <c r="AR267" s="224"/>
      <c r="AS267" s="224"/>
      <c r="AT267" s="224"/>
      <c r="AU267" s="224"/>
      <c r="AV267" s="224"/>
      <c r="AW267" s="224"/>
      <c r="AX267" s="224"/>
      <c r="AY267" s="224"/>
      <c r="AZ267" s="224"/>
      <c r="BA267" s="224"/>
      <c r="BB267" s="224"/>
      <c r="BC267" s="224"/>
      <c r="BD267" s="224"/>
      <c r="BE267" s="224"/>
      <c r="BF267" s="224"/>
      <c r="BG267" s="224"/>
      <c r="BH267" s="224"/>
      <c r="BI267" s="224"/>
      <c r="BJ267" s="224"/>
      <c r="BK267" s="224"/>
      <c r="BL267" s="224"/>
      <c r="BM267" s="224"/>
      <c r="BN267" s="224"/>
      <c r="BO267" s="224"/>
      <c r="BP267" s="224"/>
      <c r="BQ267" s="224"/>
      <c r="BR267" s="224"/>
      <c r="BS267" s="224"/>
      <c r="BT267" s="224"/>
      <c r="BU267" s="224"/>
      <c r="BV267" s="224"/>
    </row>
    <row r="268" spans="2:74" x14ac:dyDescent="0.2">
      <c r="B268" s="210"/>
      <c r="C268" s="203"/>
      <c r="D268" s="203"/>
      <c r="E268" s="261"/>
      <c r="F268" s="224"/>
      <c r="G268" s="224"/>
      <c r="H268" s="224"/>
      <c r="I268" s="224"/>
      <c r="J268" s="224"/>
      <c r="K268" s="224"/>
      <c r="L268" s="224"/>
      <c r="M268" s="224"/>
      <c r="N268" s="224"/>
      <c r="O268" s="224"/>
      <c r="P268" s="224"/>
      <c r="Q268" s="224"/>
      <c r="R268" s="224"/>
      <c r="S268" s="224"/>
      <c r="T268" s="224"/>
      <c r="U268" s="224"/>
      <c r="V268" s="224"/>
      <c r="W268" s="224"/>
      <c r="X268" s="224"/>
      <c r="Y268" s="224"/>
      <c r="Z268" s="224"/>
      <c r="AA268" s="224"/>
      <c r="AB268" s="224"/>
      <c r="AC268" s="224"/>
      <c r="AD268" s="224"/>
      <c r="AE268" s="224"/>
      <c r="AF268" s="224"/>
      <c r="AG268" s="224"/>
      <c r="AH268" s="224"/>
      <c r="AI268" s="224"/>
      <c r="AJ268" s="224"/>
      <c r="AK268" s="224"/>
      <c r="AL268" s="224"/>
      <c r="AM268" s="224"/>
      <c r="AN268" s="224"/>
      <c r="AO268" s="224"/>
      <c r="AP268" s="224"/>
      <c r="AQ268" s="224"/>
      <c r="AR268" s="224"/>
      <c r="AS268" s="224"/>
      <c r="AT268" s="224"/>
      <c r="AU268" s="224"/>
      <c r="AV268" s="224"/>
      <c r="AW268" s="224"/>
      <c r="AX268" s="224"/>
      <c r="AY268" s="224"/>
      <c r="AZ268" s="224"/>
      <c r="BA268" s="224"/>
      <c r="BB268" s="224"/>
      <c r="BC268" s="224"/>
      <c r="BD268" s="224"/>
      <c r="BE268" s="224"/>
      <c r="BF268" s="224"/>
      <c r="BG268" s="224"/>
      <c r="BH268" s="224"/>
      <c r="BI268" s="224"/>
      <c r="BJ268" s="224"/>
      <c r="BK268" s="224"/>
      <c r="BL268" s="224"/>
      <c r="BM268" s="224"/>
      <c r="BN268" s="224"/>
      <c r="BO268" s="224"/>
      <c r="BP268" s="224"/>
      <c r="BQ268" s="224"/>
      <c r="BR268" s="224"/>
      <c r="BS268" s="224"/>
      <c r="BT268" s="224"/>
      <c r="BU268" s="224"/>
      <c r="BV268" s="224"/>
    </row>
    <row r="269" spans="2:74" x14ac:dyDescent="0.2">
      <c r="B269" s="210"/>
      <c r="C269" s="203"/>
      <c r="D269" s="203"/>
      <c r="E269" s="261"/>
      <c r="F269" s="224"/>
      <c r="G269" s="224"/>
      <c r="H269" s="224"/>
      <c r="I269" s="224"/>
      <c r="J269" s="224"/>
      <c r="K269" s="224"/>
      <c r="L269" s="224"/>
      <c r="M269" s="224"/>
      <c r="N269" s="224"/>
      <c r="O269" s="224"/>
      <c r="P269" s="224"/>
      <c r="Q269" s="224"/>
      <c r="R269" s="224"/>
      <c r="S269" s="224"/>
      <c r="T269" s="224"/>
      <c r="U269" s="224"/>
      <c r="V269" s="224"/>
      <c r="W269" s="224"/>
      <c r="X269" s="224"/>
      <c r="Y269" s="224"/>
      <c r="Z269" s="224"/>
      <c r="AA269" s="224"/>
      <c r="AB269" s="224"/>
      <c r="AC269" s="224"/>
      <c r="AD269" s="224"/>
      <c r="AE269" s="224"/>
      <c r="AF269" s="224"/>
      <c r="AG269" s="224"/>
      <c r="AH269" s="224"/>
      <c r="AI269" s="224"/>
      <c r="AJ269" s="224"/>
      <c r="AK269" s="224"/>
      <c r="AL269" s="224"/>
      <c r="AM269" s="224"/>
      <c r="AN269" s="224"/>
      <c r="AO269" s="224"/>
      <c r="AP269" s="224"/>
      <c r="AQ269" s="224"/>
      <c r="AR269" s="224"/>
      <c r="AS269" s="224"/>
      <c r="AT269" s="224"/>
      <c r="AU269" s="224"/>
      <c r="AV269" s="224"/>
      <c r="AW269" s="224"/>
      <c r="AX269" s="224"/>
      <c r="AY269" s="224"/>
      <c r="AZ269" s="224"/>
      <c r="BA269" s="224"/>
      <c r="BB269" s="224"/>
      <c r="BC269" s="224"/>
      <c r="BD269" s="224"/>
      <c r="BE269" s="224"/>
      <c r="BF269" s="224"/>
      <c r="BG269" s="224"/>
      <c r="BH269" s="224"/>
      <c r="BI269" s="224"/>
      <c r="BJ269" s="224"/>
      <c r="BK269" s="224"/>
      <c r="BL269" s="224"/>
      <c r="BM269" s="224"/>
      <c r="BN269" s="224"/>
      <c r="BO269" s="224"/>
      <c r="BP269" s="224"/>
      <c r="BQ269" s="224"/>
      <c r="BR269" s="224"/>
      <c r="BS269" s="224"/>
      <c r="BT269" s="224"/>
      <c r="BU269" s="224"/>
      <c r="BV269" s="224"/>
    </row>
    <row r="270" spans="2:74" x14ac:dyDescent="0.2">
      <c r="B270" s="210"/>
      <c r="C270" s="203"/>
      <c r="D270" s="203"/>
      <c r="E270" s="261"/>
      <c r="F270" s="224"/>
      <c r="G270" s="224"/>
      <c r="H270" s="224"/>
      <c r="I270" s="224"/>
      <c r="J270" s="224"/>
      <c r="K270" s="224"/>
      <c r="L270" s="224"/>
      <c r="M270" s="224"/>
      <c r="N270" s="224"/>
      <c r="O270" s="224"/>
      <c r="P270" s="224"/>
      <c r="Q270" s="224"/>
      <c r="R270" s="224"/>
      <c r="S270" s="224"/>
      <c r="T270" s="224"/>
      <c r="U270" s="224"/>
      <c r="V270" s="224"/>
      <c r="W270" s="224"/>
      <c r="X270" s="224"/>
      <c r="Y270" s="224"/>
      <c r="Z270" s="224"/>
      <c r="AA270" s="224"/>
      <c r="AB270" s="224"/>
      <c r="AC270" s="224"/>
      <c r="AD270" s="224"/>
      <c r="AE270" s="224"/>
      <c r="AF270" s="224"/>
      <c r="AG270" s="224"/>
      <c r="AH270" s="224"/>
      <c r="AI270" s="224"/>
      <c r="AJ270" s="224"/>
      <c r="AK270" s="224"/>
      <c r="AL270" s="224"/>
      <c r="AM270" s="224"/>
      <c r="AN270" s="224"/>
      <c r="AO270" s="224"/>
      <c r="AP270" s="224"/>
      <c r="AQ270" s="224"/>
      <c r="AR270" s="224"/>
      <c r="AS270" s="224"/>
      <c r="AT270" s="224"/>
      <c r="AU270" s="224"/>
      <c r="AV270" s="224"/>
      <c r="AW270" s="224"/>
      <c r="AX270" s="224"/>
      <c r="AY270" s="224"/>
      <c r="AZ270" s="224"/>
      <c r="BA270" s="224"/>
      <c r="BB270" s="224"/>
      <c r="BC270" s="224"/>
      <c r="BD270" s="224"/>
      <c r="BE270" s="224"/>
      <c r="BF270" s="224"/>
      <c r="BG270" s="224"/>
      <c r="BH270" s="224"/>
      <c r="BI270" s="224"/>
      <c r="BJ270" s="224"/>
      <c r="BK270" s="224"/>
      <c r="BL270" s="224"/>
      <c r="BM270" s="224"/>
      <c r="BN270" s="224"/>
      <c r="BO270" s="224"/>
      <c r="BP270" s="224"/>
      <c r="BQ270" s="224"/>
      <c r="BR270" s="224"/>
      <c r="BS270" s="224"/>
      <c r="BT270" s="224"/>
      <c r="BU270" s="224"/>
      <c r="BV270" s="224"/>
    </row>
    <row r="271" spans="2:74" x14ac:dyDescent="0.2">
      <c r="B271" s="210"/>
      <c r="C271" s="210"/>
      <c r="D271" s="210"/>
      <c r="E271" s="261"/>
      <c r="F271" s="224"/>
      <c r="G271" s="224"/>
      <c r="H271" s="224"/>
      <c r="I271" s="224"/>
      <c r="J271" s="224"/>
      <c r="K271" s="224"/>
      <c r="L271" s="224"/>
      <c r="M271" s="224"/>
      <c r="N271" s="224"/>
      <c r="O271" s="224"/>
      <c r="P271" s="224"/>
      <c r="Q271" s="224"/>
      <c r="R271" s="224"/>
      <c r="S271" s="224"/>
      <c r="T271" s="224"/>
      <c r="U271" s="224"/>
      <c r="V271" s="224"/>
      <c r="W271" s="224"/>
      <c r="X271" s="224"/>
      <c r="Y271" s="224"/>
      <c r="Z271" s="224"/>
      <c r="AA271" s="224"/>
      <c r="AB271" s="224"/>
      <c r="AC271" s="224"/>
      <c r="AD271" s="224"/>
      <c r="AE271" s="224"/>
      <c r="AF271" s="224"/>
      <c r="AG271" s="224"/>
      <c r="AH271" s="224"/>
      <c r="AI271" s="224"/>
      <c r="AJ271" s="224"/>
      <c r="AK271" s="224"/>
      <c r="AL271" s="224"/>
      <c r="AM271" s="224"/>
      <c r="AN271" s="224"/>
      <c r="AO271" s="224"/>
      <c r="AP271" s="224"/>
      <c r="AQ271" s="224"/>
      <c r="AR271" s="224"/>
      <c r="AS271" s="224"/>
      <c r="AT271" s="224"/>
      <c r="AU271" s="224"/>
      <c r="AV271" s="224"/>
      <c r="AW271" s="224"/>
      <c r="AX271" s="224"/>
      <c r="AY271" s="224"/>
      <c r="AZ271" s="224"/>
      <c r="BA271" s="224"/>
      <c r="BB271" s="224"/>
      <c r="BC271" s="224"/>
      <c r="BD271" s="224"/>
      <c r="BE271" s="224"/>
      <c r="BF271" s="224"/>
      <c r="BG271" s="224"/>
      <c r="BH271" s="224"/>
      <c r="BI271" s="224"/>
      <c r="BJ271" s="224"/>
      <c r="BK271" s="224"/>
      <c r="BL271" s="224"/>
      <c r="BM271" s="224"/>
      <c r="BN271" s="224"/>
      <c r="BO271" s="224"/>
      <c r="BP271" s="224"/>
      <c r="BQ271" s="224"/>
      <c r="BR271" s="224"/>
      <c r="BS271" s="224"/>
      <c r="BT271" s="224"/>
      <c r="BU271" s="224"/>
      <c r="BV271" s="224"/>
    </row>
    <row r="272" spans="2:74" x14ac:dyDescent="0.2">
      <c r="B272" s="210"/>
      <c r="C272" s="203"/>
      <c r="D272" s="203"/>
      <c r="E272" s="261"/>
      <c r="F272" s="224"/>
      <c r="G272" s="224"/>
      <c r="H272" s="224"/>
      <c r="I272" s="224"/>
      <c r="J272" s="224"/>
      <c r="K272" s="224"/>
      <c r="L272" s="224"/>
      <c r="M272" s="224"/>
      <c r="N272" s="224"/>
      <c r="O272" s="224"/>
      <c r="P272" s="224"/>
      <c r="Q272" s="224"/>
      <c r="R272" s="224"/>
      <c r="S272" s="224"/>
      <c r="T272" s="224"/>
      <c r="U272" s="224"/>
      <c r="V272" s="224"/>
      <c r="W272" s="224"/>
      <c r="X272" s="224"/>
      <c r="Y272" s="224"/>
      <c r="Z272" s="224"/>
      <c r="AA272" s="224"/>
      <c r="AB272" s="224"/>
      <c r="AC272" s="224"/>
      <c r="AD272" s="224"/>
      <c r="AE272" s="224"/>
      <c r="AF272" s="224"/>
      <c r="AG272" s="224"/>
      <c r="AH272" s="224"/>
      <c r="AI272" s="224"/>
      <c r="AJ272" s="224"/>
      <c r="AK272" s="224"/>
      <c r="AL272" s="224"/>
      <c r="AM272" s="224"/>
      <c r="AN272" s="224"/>
      <c r="AO272" s="224"/>
      <c r="AP272" s="224"/>
      <c r="AQ272" s="224"/>
      <c r="AR272" s="224"/>
      <c r="AS272" s="224"/>
      <c r="AT272" s="224"/>
      <c r="AU272" s="224"/>
      <c r="AV272" s="224"/>
      <c r="AW272" s="224"/>
      <c r="AX272" s="224"/>
      <c r="AY272" s="224"/>
      <c r="AZ272" s="224"/>
      <c r="BA272" s="224"/>
      <c r="BB272" s="224"/>
      <c r="BC272" s="224"/>
      <c r="BD272" s="224"/>
      <c r="BE272" s="224"/>
      <c r="BF272" s="224"/>
      <c r="BG272" s="224"/>
      <c r="BH272" s="224"/>
      <c r="BI272" s="224"/>
      <c r="BJ272" s="224"/>
      <c r="BK272" s="224"/>
      <c r="BL272" s="224"/>
      <c r="BM272" s="224"/>
      <c r="BN272" s="224"/>
      <c r="BO272" s="224"/>
      <c r="BP272" s="224"/>
      <c r="BQ272" s="224"/>
      <c r="BR272" s="224"/>
      <c r="BS272" s="224"/>
      <c r="BT272" s="224"/>
      <c r="BU272" s="224"/>
      <c r="BV272" s="224"/>
    </row>
    <row r="273" spans="2:74" x14ac:dyDescent="0.2">
      <c r="B273" s="210"/>
      <c r="C273" s="203"/>
      <c r="D273" s="203"/>
      <c r="E273" s="261"/>
      <c r="F273" s="224"/>
      <c r="G273" s="224"/>
      <c r="H273" s="224"/>
      <c r="I273" s="224"/>
      <c r="J273" s="224"/>
      <c r="K273" s="224"/>
      <c r="L273" s="224"/>
      <c r="M273" s="224"/>
      <c r="N273" s="224"/>
      <c r="O273" s="224"/>
      <c r="P273" s="224"/>
      <c r="Q273" s="224"/>
      <c r="R273" s="224"/>
      <c r="S273" s="224"/>
      <c r="T273" s="224"/>
      <c r="U273" s="224"/>
      <c r="V273" s="224"/>
      <c r="W273" s="224"/>
      <c r="X273" s="224"/>
      <c r="Y273" s="224"/>
      <c r="Z273" s="224"/>
      <c r="AA273" s="224"/>
      <c r="AB273" s="224"/>
      <c r="AC273" s="224"/>
      <c r="AD273" s="224"/>
      <c r="AE273" s="224"/>
      <c r="AF273" s="224"/>
      <c r="AG273" s="224"/>
      <c r="AH273" s="224"/>
      <c r="AI273" s="224"/>
      <c r="AJ273" s="224"/>
      <c r="AK273" s="224"/>
      <c r="AL273" s="224"/>
      <c r="AM273" s="224"/>
      <c r="AN273" s="224"/>
      <c r="AO273" s="224"/>
      <c r="AP273" s="224"/>
      <c r="AQ273" s="224"/>
      <c r="AR273" s="224"/>
      <c r="AS273" s="224"/>
      <c r="AT273" s="224"/>
      <c r="AU273" s="224"/>
      <c r="AV273" s="224"/>
      <c r="AW273" s="224"/>
      <c r="AX273" s="224"/>
      <c r="AY273" s="224"/>
      <c r="AZ273" s="224"/>
      <c r="BA273" s="224"/>
      <c r="BB273" s="224"/>
      <c r="BC273" s="224"/>
      <c r="BD273" s="224"/>
      <c r="BE273" s="224"/>
      <c r="BF273" s="224"/>
      <c r="BG273" s="224"/>
      <c r="BH273" s="224"/>
      <c r="BI273" s="224"/>
      <c r="BJ273" s="224"/>
      <c r="BK273" s="224"/>
      <c r="BL273" s="224"/>
      <c r="BM273" s="224"/>
      <c r="BN273" s="224"/>
      <c r="BO273" s="224"/>
      <c r="BP273" s="224"/>
      <c r="BQ273" s="224"/>
      <c r="BR273" s="224"/>
      <c r="BS273" s="224"/>
      <c r="BT273" s="224"/>
      <c r="BU273" s="224"/>
      <c r="BV273" s="224"/>
    </row>
    <row r="274" spans="2:74" x14ac:dyDescent="0.2">
      <c r="B274" s="210"/>
      <c r="C274" s="203"/>
      <c r="D274" s="203"/>
      <c r="E274" s="261"/>
      <c r="F274" s="224"/>
      <c r="G274" s="224"/>
      <c r="H274" s="224"/>
      <c r="I274" s="224"/>
      <c r="J274" s="224"/>
      <c r="K274" s="224"/>
      <c r="L274" s="224"/>
      <c r="M274" s="224"/>
      <c r="N274" s="224"/>
      <c r="O274" s="224"/>
      <c r="P274" s="224"/>
      <c r="Q274" s="224"/>
      <c r="R274" s="224"/>
      <c r="S274" s="224"/>
      <c r="T274" s="224"/>
      <c r="U274" s="224"/>
      <c r="V274" s="224"/>
      <c r="W274" s="224"/>
      <c r="X274" s="224"/>
      <c r="Y274" s="224"/>
      <c r="Z274" s="224"/>
      <c r="AA274" s="224"/>
      <c r="AB274" s="224"/>
      <c r="AC274" s="224"/>
      <c r="AD274" s="224"/>
      <c r="AE274" s="224"/>
      <c r="AF274" s="224"/>
      <c r="AG274" s="224"/>
      <c r="AH274" s="224"/>
      <c r="AI274" s="224"/>
      <c r="AJ274" s="224"/>
      <c r="AK274" s="224"/>
      <c r="AL274" s="224"/>
      <c r="AM274" s="224"/>
      <c r="AN274" s="224"/>
      <c r="AO274" s="224"/>
      <c r="AP274" s="224"/>
      <c r="AQ274" s="224"/>
      <c r="AR274" s="224"/>
      <c r="AS274" s="224"/>
      <c r="AT274" s="224"/>
      <c r="AU274" s="224"/>
      <c r="AV274" s="224"/>
      <c r="AW274" s="224"/>
      <c r="AX274" s="224"/>
      <c r="AY274" s="224"/>
      <c r="AZ274" s="224"/>
      <c r="BA274" s="224"/>
      <c r="BB274" s="224"/>
      <c r="BC274" s="224"/>
      <c r="BD274" s="224"/>
      <c r="BE274" s="224"/>
      <c r="BF274" s="224"/>
      <c r="BG274" s="224"/>
      <c r="BH274" s="224"/>
      <c r="BI274" s="224"/>
      <c r="BJ274" s="224"/>
      <c r="BK274" s="224"/>
      <c r="BL274" s="224"/>
      <c r="BM274" s="224"/>
      <c r="BN274" s="224"/>
      <c r="BO274" s="224"/>
      <c r="BP274" s="224"/>
      <c r="BQ274" s="224"/>
      <c r="BR274" s="224"/>
      <c r="BS274" s="224"/>
      <c r="BT274" s="224"/>
      <c r="BU274" s="224"/>
      <c r="BV274" s="224"/>
    </row>
    <row r="275" spans="2:74" x14ac:dyDescent="0.2">
      <c r="B275" s="210"/>
      <c r="C275" s="203"/>
      <c r="D275" s="203"/>
      <c r="E275" s="261"/>
      <c r="F275" s="224"/>
      <c r="G275" s="224"/>
      <c r="H275" s="224"/>
      <c r="I275" s="224"/>
      <c r="J275" s="224"/>
      <c r="K275" s="224"/>
      <c r="L275" s="224"/>
      <c r="M275" s="224"/>
      <c r="N275" s="224"/>
      <c r="O275" s="224"/>
      <c r="P275" s="224"/>
      <c r="Q275" s="224"/>
      <c r="R275" s="224"/>
      <c r="S275" s="224"/>
      <c r="T275" s="224"/>
      <c r="U275" s="224"/>
      <c r="V275" s="224"/>
      <c r="W275" s="224"/>
      <c r="X275" s="224"/>
      <c r="Y275" s="224"/>
      <c r="Z275" s="224"/>
      <c r="AA275" s="224"/>
      <c r="AB275" s="224"/>
      <c r="AC275" s="224"/>
      <c r="AD275" s="224"/>
      <c r="AE275" s="224"/>
      <c r="AF275" s="224"/>
      <c r="AG275" s="224"/>
      <c r="AH275" s="224"/>
      <c r="AI275" s="224"/>
      <c r="AJ275" s="224"/>
      <c r="AK275" s="224"/>
      <c r="AL275" s="224"/>
      <c r="AM275" s="224"/>
      <c r="AN275" s="224"/>
      <c r="AO275" s="224"/>
      <c r="AP275" s="224"/>
      <c r="AQ275" s="224"/>
      <c r="AR275" s="224"/>
      <c r="AS275" s="224"/>
      <c r="AT275" s="224"/>
      <c r="AU275" s="224"/>
      <c r="AV275" s="224"/>
      <c r="AW275" s="224"/>
      <c r="AX275" s="224"/>
      <c r="AY275" s="224"/>
      <c r="AZ275" s="224"/>
      <c r="BA275" s="224"/>
      <c r="BB275" s="224"/>
      <c r="BC275" s="224"/>
      <c r="BD275" s="224"/>
      <c r="BE275" s="224"/>
      <c r="BF275" s="224"/>
      <c r="BG275" s="224"/>
      <c r="BH275" s="224"/>
      <c r="BI275" s="224"/>
      <c r="BJ275" s="224"/>
      <c r="BK275" s="224"/>
      <c r="BL275" s="224"/>
      <c r="BM275" s="224"/>
      <c r="BN275" s="224"/>
      <c r="BO275" s="224"/>
      <c r="BP275" s="224"/>
      <c r="BQ275" s="224"/>
      <c r="BR275" s="224"/>
      <c r="BS275" s="224"/>
      <c r="BT275" s="224"/>
      <c r="BU275" s="224"/>
      <c r="BV275" s="224"/>
    </row>
    <row r="276" spans="2:74" x14ac:dyDescent="0.2">
      <c r="B276" s="210"/>
      <c r="C276" s="203"/>
      <c r="D276" s="203"/>
      <c r="E276" s="261"/>
      <c r="F276" s="224"/>
      <c r="G276" s="224"/>
      <c r="H276" s="224"/>
      <c r="I276" s="224"/>
      <c r="J276" s="224"/>
      <c r="K276" s="224"/>
      <c r="L276" s="224"/>
      <c r="M276" s="224"/>
      <c r="N276" s="224"/>
      <c r="O276" s="224"/>
      <c r="P276" s="224"/>
      <c r="Q276" s="224"/>
      <c r="R276" s="224"/>
      <c r="S276" s="224"/>
      <c r="T276" s="224"/>
      <c r="U276" s="224"/>
      <c r="V276" s="224"/>
      <c r="W276" s="224"/>
      <c r="X276" s="224"/>
      <c r="Y276" s="224"/>
      <c r="Z276" s="224"/>
      <c r="AA276" s="224"/>
      <c r="AB276" s="224"/>
      <c r="AC276" s="224"/>
      <c r="AD276" s="224"/>
      <c r="AE276" s="224"/>
      <c r="AF276" s="224"/>
      <c r="AG276" s="224"/>
      <c r="AH276" s="224"/>
      <c r="AI276" s="224"/>
      <c r="AJ276" s="224"/>
      <c r="AK276" s="224"/>
      <c r="AL276" s="224"/>
      <c r="AM276" s="224"/>
      <c r="AN276" s="224"/>
      <c r="AO276" s="224"/>
      <c r="AP276" s="224"/>
      <c r="AQ276" s="224"/>
      <c r="AR276" s="224"/>
      <c r="AS276" s="224"/>
      <c r="AT276" s="224"/>
      <c r="AU276" s="224"/>
      <c r="AV276" s="224"/>
      <c r="AW276" s="224"/>
      <c r="AX276" s="224"/>
      <c r="AY276" s="224"/>
      <c r="AZ276" s="224"/>
      <c r="BA276" s="224"/>
      <c r="BB276" s="224"/>
      <c r="BC276" s="224"/>
      <c r="BD276" s="224"/>
      <c r="BE276" s="224"/>
      <c r="BF276" s="224"/>
      <c r="BG276" s="224"/>
      <c r="BH276" s="224"/>
      <c r="BI276" s="224"/>
      <c r="BJ276" s="224"/>
      <c r="BK276" s="224"/>
      <c r="BL276" s="224"/>
      <c r="BM276" s="224"/>
      <c r="BN276" s="224"/>
      <c r="BO276" s="224"/>
      <c r="BP276" s="224"/>
      <c r="BQ276" s="224"/>
      <c r="BR276" s="224"/>
      <c r="BS276" s="224"/>
      <c r="BT276" s="224"/>
      <c r="BU276" s="224"/>
      <c r="BV276" s="224"/>
    </row>
    <row r="277" spans="2:74" x14ac:dyDescent="0.2">
      <c r="B277" s="210"/>
      <c r="C277" s="203"/>
      <c r="D277" s="203"/>
      <c r="E277" s="261"/>
      <c r="F277" s="224"/>
      <c r="G277" s="224"/>
      <c r="H277" s="224"/>
      <c r="I277" s="224"/>
      <c r="J277" s="224"/>
      <c r="K277" s="224"/>
      <c r="L277" s="224"/>
      <c r="M277" s="224"/>
      <c r="N277" s="224"/>
      <c r="O277" s="224"/>
      <c r="P277" s="224"/>
      <c r="Q277" s="224"/>
      <c r="R277" s="224"/>
      <c r="S277" s="224"/>
      <c r="T277" s="224"/>
      <c r="U277" s="224"/>
      <c r="V277" s="224"/>
      <c r="W277" s="224"/>
      <c r="X277" s="224"/>
      <c r="Y277" s="224"/>
      <c r="Z277" s="224"/>
      <c r="AA277" s="224"/>
      <c r="AB277" s="224"/>
      <c r="AC277" s="224"/>
      <c r="AD277" s="224"/>
      <c r="AE277" s="224"/>
      <c r="AF277" s="224"/>
      <c r="AG277" s="224"/>
      <c r="AH277" s="224"/>
      <c r="AI277" s="224"/>
      <c r="AJ277" s="224"/>
      <c r="AK277" s="224"/>
      <c r="AL277" s="224"/>
      <c r="AM277" s="224"/>
      <c r="AN277" s="224"/>
      <c r="AO277" s="224"/>
      <c r="AP277" s="224"/>
      <c r="AQ277" s="224"/>
      <c r="AR277" s="224"/>
      <c r="AS277" s="224"/>
      <c r="AT277" s="224"/>
      <c r="AU277" s="224"/>
      <c r="AV277" s="224"/>
      <c r="AW277" s="224"/>
      <c r="AX277" s="224"/>
      <c r="AY277" s="224"/>
      <c r="AZ277" s="224"/>
      <c r="BA277" s="224"/>
      <c r="BB277" s="224"/>
      <c r="BC277" s="224"/>
      <c r="BD277" s="224"/>
      <c r="BE277" s="224"/>
      <c r="BF277" s="224"/>
      <c r="BG277" s="224"/>
      <c r="BH277" s="224"/>
      <c r="BI277" s="224"/>
      <c r="BJ277" s="224"/>
      <c r="BK277" s="224"/>
      <c r="BL277" s="224"/>
      <c r="BM277" s="224"/>
      <c r="BN277" s="224"/>
      <c r="BO277" s="224"/>
      <c r="BP277" s="224"/>
      <c r="BQ277" s="224"/>
      <c r="BR277" s="224"/>
      <c r="BS277" s="224"/>
      <c r="BT277" s="224"/>
      <c r="BU277" s="224"/>
      <c r="BV277" s="224"/>
    </row>
    <row r="278" spans="2:74" x14ac:dyDescent="0.2">
      <c r="B278" s="210"/>
      <c r="C278" s="203"/>
      <c r="D278" s="203"/>
      <c r="E278" s="261"/>
      <c r="F278" s="224"/>
      <c r="G278" s="224"/>
      <c r="H278" s="224"/>
      <c r="I278" s="224"/>
      <c r="J278" s="224"/>
      <c r="K278" s="224"/>
      <c r="L278" s="224"/>
      <c r="M278" s="224"/>
      <c r="N278" s="224"/>
      <c r="O278" s="224"/>
      <c r="P278" s="224"/>
      <c r="Q278" s="224"/>
      <c r="R278" s="224"/>
      <c r="S278" s="224"/>
      <c r="T278" s="224"/>
      <c r="U278" s="224"/>
      <c r="V278" s="224"/>
      <c r="W278" s="224"/>
      <c r="X278" s="224"/>
      <c r="Y278" s="224"/>
      <c r="Z278" s="224"/>
      <c r="AA278" s="224"/>
      <c r="AB278" s="224"/>
      <c r="AC278" s="224"/>
      <c r="AD278" s="224"/>
      <c r="AE278" s="224"/>
      <c r="AF278" s="224"/>
      <c r="AG278" s="224"/>
      <c r="AH278" s="224"/>
      <c r="AI278" s="224"/>
      <c r="AJ278" s="224"/>
      <c r="AK278" s="224"/>
      <c r="AL278" s="224"/>
      <c r="AM278" s="224"/>
      <c r="AN278" s="224"/>
      <c r="AO278" s="224"/>
      <c r="AP278" s="224"/>
      <c r="AQ278" s="224"/>
      <c r="AR278" s="224"/>
      <c r="AS278" s="224"/>
      <c r="AT278" s="224"/>
      <c r="AU278" s="224"/>
      <c r="AV278" s="224"/>
      <c r="AW278" s="224"/>
      <c r="AX278" s="224"/>
      <c r="AY278" s="224"/>
      <c r="AZ278" s="224"/>
      <c r="BA278" s="224"/>
      <c r="BB278" s="224"/>
      <c r="BC278" s="224"/>
      <c r="BD278" s="224"/>
      <c r="BE278" s="224"/>
      <c r="BF278" s="224"/>
      <c r="BG278" s="224"/>
      <c r="BH278" s="224"/>
      <c r="BI278" s="224"/>
      <c r="BJ278" s="224"/>
      <c r="BK278" s="224"/>
      <c r="BL278" s="224"/>
      <c r="BM278" s="224"/>
      <c r="BN278" s="224"/>
      <c r="BO278" s="224"/>
      <c r="BP278" s="224"/>
      <c r="BQ278" s="224"/>
      <c r="BR278" s="224"/>
      <c r="BS278" s="224"/>
      <c r="BT278" s="224"/>
      <c r="BU278" s="224"/>
      <c r="BV278" s="224"/>
    </row>
    <row r="279" spans="2:74" x14ac:dyDescent="0.2">
      <c r="B279" s="210"/>
      <c r="C279" s="203"/>
      <c r="D279" s="203"/>
      <c r="E279" s="261"/>
      <c r="F279" s="224"/>
      <c r="G279" s="224"/>
      <c r="H279" s="224"/>
      <c r="I279" s="224"/>
      <c r="J279" s="224"/>
      <c r="K279" s="224"/>
      <c r="L279" s="224"/>
      <c r="M279" s="224"/>
      <c r="N279" s="224"/>
      <c r="O279" s="224"/>
      <c r="P279" s="224"/>
      <c r="Q279" s="224"/>
      <c r="R279" s="224"/>
      <c r="S279" s="224"/>
      <c r="T279" s="224"/>
      <c r="U279" s="224"/>
      <c r="V279" s="224"/>
      <c r="W279" s="224"/>
      <c r="X279" s="224"/>
      <c r="Y279" s="224"/>
      <c r="Z279" s="224"/>
      <c r="AA279" s="224"/>
      <c r="AB279" s="224"/>
      <c r="AC279" s="224"/>
      <c r="AD279" s="224"/>
      <c r="AE279" s="224"/>
      <c r="AF279" s="224"/>
      <c r="AG279" s="224"/>
      <c r="AH279" s="224"/>
      <c r="AI279" s="224"/>
      <c r="AJ279" s="224"/>
      <c r="AK279" s="224"/>
      <c r="AL279" s="224"/>
      <c r="AM279" s="224"/>
      <c r="AN279" s="224"/>
      <c r="AO279" s="224"/>
      <c r="AP279" s="224"/>
      <c r="AQ279" s="224"/>
      <c r="AR279" s="224"/>
      <c r="AS279" s="224"/>
      <c r="AT279" s="224"/>
      <c r="AU279" s="224"/>
      <c r="AV279" s="224"/>
      <c r="AW279" s="224"/>
      <c r="AX279" s="224"/>
      <c r="AY279" s="224"/>
      <c r="AZ279" s="224"/>
      <c r="BA279" s="224"/>
      <c r="BB279" s="224"/>
      <c r="BC279" s="224"/>
      <c r="BD279" s="224"/>
      <c r="BE279" s="224"/>
      <c r="BF279" s="224"/>
      <c r="BG279" s="224"/>
      <c r="BH279" s="224"/>
      <c r="BI279" s="224"/>
      <c r="BJ279" s="224"/>
      <c r="BK279" s="224"/>
      <c r="BL279" s="224"/>
      <c r="BM279" s="224"/>
      <c r="BN279" s="224"/>
      <c r="BO279" s="224"/>
      <c r="BP279" s="224"/>
      <c r="BQ279" s="224"/>
      <c r="BR279" s="224"/>
      <c r="BS279" s="224"/>
      <c r="BT279" s="224"/>
      <c r="BU279" s="224"/>
      <c r="BV279" s="224"/>
    </row>
    <row r="280" spans="2:74" x14ac:dyDescent="0.2">
      <c r="B280" s="210"/>
      <c r="C280" s="203"/>
      <c r="D280" s="203"/>
      <c r="E280" s="261"/>
      <c r="F280" s="224"/>
      <c r="G280" s="224"/>
      <c r="H280" s="224"/>
      <c r="I280" s="224"/>
      <c r="J280" s="224"/>
      <c r="K280" s="224"/>
      <c r="L280" s="224"/>
      <c r="M280" s="224"/>
      <c r="N280" s="224"/>
      <c r="O280" s="224"/>
      <c r="P280" s="224"/>
      <c r="Q280" s="224"/>
      <c r="R280" s="224"/>
      <c r="S280" s="224"/>
      <c r="T280" s="224"/>
      <c r="U280" s="224"/>
      <c r="V280" s="224"/>
      <c r="W280" s="224"/>
      <c r="X280" s="224"/>
      <c r="Y280" s="224"/>
      <c r="Z280" s="224"/>
      <c r="AA280" s="224"/>
      <c r="AB280" s="224"/>
      <c r="AC280" s="224"/>
      <c r="AD280" s="224"/>
      <c r="AE280" s="224"/>
      <c r="AF280" s="224"/>
      <c r="AG280" s="224"/>
      <c r="AH280" s="224"/>
      <c r="AI280" s="224"/>
      <c r="AJ280" s="224"/>
      <c r="AK280" s="224"/>
      <c r="AL280" s="224"/>
      <c r="AM280" s="224"/>
      <c r="AN280" s="224"/>
      <c r="AO280" s="224"/>
      <c r="AP280" s="224"/>
      <c r="AQ280" s="224"/>
      <c r="AR280" s="224"/>
      <c r="AS280" s="224"/>
      <c r="AT280" s="224"/>
      <c r="AU280" s="224"/>
      <c r="AV280" s="224"/>
      <c r="AW280" s="224"/>
      <c r="AX280" s="224"/>
      <c r="AY280" s="224"/>
      <c r="AZ280" s="224"/>
      <c r="BA280" s="224"/>
      <c r="BB280" s="224"/>
      <c r="BC280" s="224"/>
      <c r="BD280" s="224"/>
      <c r="BE280" s="224"/>
      <c r="BF280" s="224"/>
      <c r="BG280" s="224"/>
      <c r="BH280" s="224"/>
      <c r="BI280" s="224"/>
      <c r="BJ280" s="224"/>
      <c r="BK280" s="224"/>
      <c r="BL280" s="224"/>
      <c r="BM280" s="224"/>
      <c r="BN280" s="224"/>
      <c r="BO280" s="224"/>
      <c r="BP280" s="224"/>
      <c r="BQ280" s="224"/>
      <c r="BR280" s="224"/>
      <c r="BS280" s="224"/>
      <c r="BT280" s="224"/>
      <c r="BU280" s="224"/>
      <c r="BV280" s="224"/>
    </row>
    <row r="281" spans="2:74" x14ac:dyDescent="0.2">
      <c r="B281" s="210"/>
      <c r="C281" s="203"/>
      <c r="D281" s="203"/>
      <c r="E281" s="261"/>
      <c r="F281" s="224"/>
      <c r="G281" s="224"/>
      <c r="H281" s="224"/>
      <c r="I281" s="224"/>
      <c r="J281" s="224"/>
      <c r="K281" s="224"/>
      <c r="L281" s="224"/>
      <c r="M281" s="224"/>
      <c r="N281" s="224"/>
      <c r="O281" s="224"/>
      <c r="P281" s="224"/>
      <c r="Q281" s="224"/>
      <c r="R281" s="224"/>
      <c r="S281" s="224"/>
      <c r="T281" s="224"/>
      <c r="U281" s="224"/>
      <c r="V281" s="224"/>
      <c r="W281" s="224"/>
      <c r="X281" s="224"/>
      <c r="Y281" s="224"/>
      <c r="Z281" s="224"/>
      <c r="AA281" s="224"/>
      <c r="AB281" s="224"/>
      <c r="AC281" s="224"/>
      <c r="AD281" s="224"/>
      <c r="AE281" s="224"/>
      <c r="AF281" s="224"/>
      <c r="AG281" s="224"/>
      <c r="AH281" s="224"/>
      <c r="AI281" s="224"/>
      <c r="AJ281" s="224"/>
      <c r="AK281" s="224"/>
      <c r="AL281" s="224"/>
      <c r="AM281" s="224"/>
      <c r="AN281" s="224"/>
      <c r="AO281" s="224"/>
      <c r="AP281" s="224"/>
      <c r="AQ281" s="224"/>
      <c r="AR281" s="224"/>
      <c r="AS281" s="224"/>
      <c r="AT281" s="224"/>
      <c r="AU281" s="224"/>
      <c r="AV281" s="224"/>
      <c r="AW281" s="224"/>
      <c r="AX281" s="224"/>
      <c r="AY281" s="224"/>
      <c r="AZ281" s="224"/>
      <c r="BA281" s="224"/>
      <c r="BB281" s="224"/>
      <c r="BC281" s="224"/>
      <c r="BD281" s="224"/>
      <c r="BE281" s="224"/>
      <c r="BF281" s="224"/>
      <c r="BG281" s="224"/>
      <c r="BH281" s="224"/>
      <c r="BI281" s="224"/>
      <c r="BJ281" s="224"/>
      <c r="BK281" s="224"/>
      <c r="BL281" s="224"/>
      <c r="BM281" s="224"/>
      <c r="BN281" s="224"/>
      <c r="BO281" s="224"/>
      <c r="BP281" s="224"/>
      <c r="BQ281" s="224"/>
      <c r="BR281" s="224"/>
      <c r="BS281" s="224"/>
      <c r="BT281" s="224"/>
      <c r="BU281" s="224"/>
      <c r="BV281" s="224"/>
    </row>
    <row r="282" spans="2:74" x14ac:dyDescent="0.2">
      <c r="B282" s="210"/>
      <c r="C282" s="203"/>
      <c r="D282" s="203"/>
      <c r="E282" s="261"/>
      <c r="F282" s="224"/>
      <c r="G282" s="224"/>
      <c r="H282" s="224"/>
      <c r="I282" s="224"/>
      <c r="J282" s="224"/>
      <c r="K282" s="224"/>
      <c r="L282" s="224"/>
      <c r="M282" s="224"/>
      <c r="N282" s="224"/>
      <c r="O282" s="224"/>
      <c r="P282" s="224"/>
      <c r="Q282" s="224"/>
      <c r="R282" s="224"/>
      <c r="S282" s="224"/>
      <c r="T282" s="224"/>
      <c r="U282" s="224"/>
      <c r="V282" s="224"/>
      <c r="W282" s="224"/>
      <c r="X282" s="224"/>
      <c r="Y282" s="224"/>
      <c r="Z282" s="224"/>
      <c r="AA282" s="224"/>
      <c r="AB282" s="224"/>
      <c r="AC282" s="224"/>
      <c r="AD282" s="224"/>
      <c r="AE282" s="224"/>
      <c r="AF282" s="224"/>
      <c r="AG282" s="224"/>
      <c r="AH282" s="224"/>
      <c r="AI282" s="224"/>
      <c r="AJ282" s="224"/>
      <c r="AK282" s="224"/>
      <c r="AL282" s="224"/>
      <c r="AM282" s="224"/>
      <c r="AN282" s="224"/>
      <c r="AO282" s="224"/>
      <c r="AP282" s="224"/>
      <c r="AQ282" s="224"/>
      <c r="AR282" s="224"/>
      <c r="AS282" s="224"/>
      <c r="AT282" s="224"/>
      <c r="AU282" s="224"/>
      <c r="AV282" s="224"/>
      <c r="AW282" s="224"/>
      <c r="AX282" s="224"/>
      <c r="AY282" s="224"/>
      <c r="AZ282" s="224"/>
      <c r="BA282" s="224"/>
      <c r="BB282" s="224"/>
      <c r="BC282" s="224"/>
      <c r="BD282" s="224"/>
      <c r="BE282" s="224"/>
      <c r="BF282" s="224"/>
      <c r="BG282" s="224"/>
      <c r="BH282" s="224"/>
      <c r="BI282" s="224"/>
      <c r="BJ282" s="224"/>
      <c r="BK282" s="224"/>
      <c r="BL282" s="224"/>
      <c r="BM282" s="224"/>
      <c r="BN282" s="224"/>
      <c r="BO282" s="224"/>
      <c r="BP282" s="224"/>
      <c r="BQ282" s="224"/>
      <c r="BR282" s="224"/>
      <c r="BS282" s="224"/>
      <c r="BT282" s="224"/>
      <c r="BU282" s="224"/>
      <c r="BV282" s="224"/>
    </row>
    <row r="283" spans="2:74" x14ac:dyDescent="0.2">
      <c r="B283" s="210"/>
      <c r="C283" s="203"/>
      <c r="D283" s="203"/>
      <c r="E283" s="261"/>
      <c r="F283" s="224"/>
      <c r="G283" s="224"/>
      <c r="H283" s="224"/>
      <c r="I283" s="224"/>
      <c r="J283" s="224"/>
      <c r="K283" s="224"/>
      <c r="L283" s="224"/>
      <c r="M283" s="224"/>
      <c r="N283" s="224"/>
      <c r="O283" s="224"/>
      <c r="P283" s="224"/>
      <c r="Q283" s="224"/>
      <c r="R283" s="224"/>
      <c r="S283" s="224"/>
      <c r="T283" s="224"/>
      <c r="U283" s="224"/>
      <c r="V283" s="224"/>
      <c r="W283" s="224"/>
      <c r="X283" s="224"/>
      <c r="Y283" s="224"/>
      <c r="Z283" s="224"/>
      <c r="AA283" s="224"/>
      <c r="AB283" s="224"/>
      <c r="AC283" s="224"/>
      <c r="AD283" s="224"/>
      <c r="AE283" s="224"/>
      <c r="AF283" s="224"/>
      <c r="AG283" s="224"/>
      <c r="AH283" s="224"/>
      <c r="AI283" s="224"/>
      <c r="AJ283" s="224"/>
      <c r="AK283" s="224"/>
      <c r="AL283" s="224"/>
      <c r="AM283" s="224"/>
      <c r="AN283" s="224"/>
      <c r="AO283" s="224"/>
      <c r="AP283" s="224"/>
      <c r="AQ283" s="224"/>
      <c r="AR283" s="224"/>
      <c r="AS283" s="224"/>
      <c r="AT283" s="224"/>
      <c r="AU283" s="224"/>
      <c r="AV283" s="224"/>
      <c r="AW283" s="224"/>
      <c r="AX283" s="224"/>
      <c r="AY283" s="224"/>
      <c r="AZ283" s="224"/>
      <c r="BA283" s="224"/>
      <c r="BB283" s="224"/>
      <c r="BC283" s="224"/>
      <c r="BD283" s="224"/>
      <c r="BE283" s="224"/>
      <c r="BF283" s="224"/>
      <c r="BG283" s="224"/>
      <c r="BH283" s="224"/>
      <c r="BI283" s="224"/>
      <c r="BJ283" s="224"/>
      <c r="BK283" s="224"/>
      <c r="BL283" s="224"/>
      <c r="BM283" s="224"/>
      <c r="BN283" s="224"/>
      <c r="BO283" s="224"/>
      <c r="BP283" s="224"/>
      <c r="BQ283" s="224"/>
      <c r="BR283" s="224"/>
      <c r="BS283" s="224"/>
      <c r="BT283" s="224"/>
      <c r="BU283" s="224"/>
      <c r="BV283" s="224"/>
    </row>
    <row r="284" spans="2:74" x14ac:dyDescent="0.2">
      <c r="B284" s="210"/>
      <c r="C284" s="210"/>
      <c r="D284" s="210"/>
      <c r="E284" s="261"/>
      <c r="F284" s="224"/>
      <c r="G284" s="224"/>
      <c r="H284" s="224"/>
      <c r="I284" s="224"/>
      <c r="J284" s="224"/>
      <c r="K284" s="224"/>
      <c r="L284" s="224"/>
      <c r="M284" s="224"/>
      <c r="N284" s="224"/>
      <c r="O284" s="224"/>
      <c r="P284" s="224"/>
      <c r="Q284" s="224"/>
      <c r="R284" s="224"/>
      <c r="S284" s="224"/>
      <c r="T284" s="224"/>
      <c r="U284" s="224"/>
      <c r="V284" s="224"/>
      <c r="W284" s="224"/>
      <c r="X284" s="224"/>
      <c r="Y284" s="224"/>
      <c r="Z284" s="224"/>
      <c r="AA284" s="224"/>
      <c r="AB284" s="224"/>
      <c r="AC284" s="224"/>
      <c r="AD284" s="224"/>
      <c r="AE284" s="224"/>
      <c r="AF284" s="224"/>
      <c r="AG284" s="224"/>
      <c r="AH284" s="224"/>
      <c r="AI284" s="224"/>
      <c r="AJ284" s="224"/>
      <c r="AK284" s="224"/>
      <c r="AL284" s="224"/>
      <c r="AM284" s="224"/>
      <c r="AN284" s="224"/>
      <c r="AO284" s="224"/>
      <c r="AP284" s="224"/>
      <c r="AQ284" s="224"/>
      <c r="AR284" s="224"/>
      <c r="AS284" s="224"/>
      <c r="AT284" s="224"/>
      <c r="AU284" s="224"/>
      <c r="AV284" s="224"/>
      <c r="AW284" s="224"/>
      <c r="AX284" s="224"/>
      <c r="AY284" s="224"/>
      <c r="AZ284" s="224"/>
      <c r="BA284" s="224"/>
      <c r="BB284" s="224"/>
      <c r="BC284" s="224"/>
      <c r="BD284" s="224"/>
      <c r="BE284" s="224"/>
      <c r="BF284" s="224"/>
      <c r="BG284" s="224"/>
      <c r="BH284" s="224"/>
      <c r="BI284" s="224"/>
      <c r="BJ284" s="224"/>
      <c r="BK284" s="224"/>
      <c r="BL284" s="224"/>
      <c r="BM284" s="224"/>
      <c r="BN284" s="224"/>
      <c r="BO284" s="224"/>
      <c r="BP284" s="224"/>
      <c r="BQ284" s="224"/>
      <c r="BR284" s="224"/>
      <c r="BS284" s="224"/>
      <c r="BT284" s="224"/>
      <c r="BU284" s="224"/>
      <c r="BV284" s="224"/>
    </row>
    <row r="285" spans="2:74" x14ac:dyDescent="0.2">
      <c r="B285" s="210"/>
      <c r="C285" s="210"/>
      <c r="D285" s="210"/>
      <c r="E285" s="261"/>
      <c r="F285" s="224"/>
      <c r="G285" s="224"/>
      <c r="H285" s="224"/>
      <c r="I285" s="224"/>
      <c r="J285" s="224"/>
      <c r="K285" s="224"/>
      <c r="L285" s="224"/>
      <c r="M285" s="224"/>
      <c r="N285" s="224"/>
      <c r="O285" s="224"/>
      <c r="P285" s="224"/>
      <c r="Q285" s="224"/>
      <c r="R285" s="224"/>
      <c r="S285" s="224"/>
      <c r="T285" s="224"/>
      <c r="U285" s="224"/>
      <c r="V285" s="224"/>
      <c r="W285" s="224"/>
      <c r="X285" s="224"/>
      <c r="Y285" s="224"/>
      <c r="Z285" s="224"/>
      <c r="AA285" s="224"/>
      <c r="AB285" s="224"/>
      <c r="AC285" s="224"/>
      <c r="AD285" s="224"/>
      <c r="AE285" s="224"/>
      <c r="AF285" s="224"/>
      <c r="AG285" s="224"/>
      <c r="AH285" s="224"/>
      <c r="AI285" s="224"/>
      <c r="AJ285" s="224"/>
      <c r="AK285" s="224"/>
      <c r="AL285" s="224"/>
      <c r="AM285" s="224"/>
      <c r="AN285" s="224"/>
      <c r="AO285" s="224"/>
      <c r="AP285" s="224"/>
      <c r="AQ285" s="224"/>
      <c r="AR285" s="224"/>
      <c r="AS285" s="224"/>
      <c r="AT285" s="224"/>
      <c r="AU285" s="224"/>
      <c r="AV285" s="224"/>
      <c r="AW285" s="224"/>
      <c r="AX285" s="224"/>
      <c r="AY285" s="224"/>
      <c r="AZ285" s="224"/>
      <c r="BA285" s="224"/>
      <c r="BB285" s="224"/>
      <c r="BC285" s="224"/>
      <c r="BD285" s="224"/>
      <c r="BE285" s="224"/>
      <c r="BF285" s="224"/>
      <c r="BG285" s="224"/>
      <c r="BH285" s="224"/>
      <c r="BI285" s="224"/>
      <c r="BJ285" s="224"/>
      <c r="BK285" s="224"/>
      <c r="BL285" s="224"/>
      <c r="BM285" s="224"/>
      <c r="BN285" s="224"/>
      <c r="BO285" s="224"/>
      <c r="BP285" s="224"/>
      <c r="BQ285" s="224"/>
      <c r="BR285" s="224"/>
      <c r="BS285" s="224"/>
      <c r="BT285" s="224"/>
      <c r="BU285" s="224"/>
      <c r="BV285" s="224"/>
    </row>
    <row r="286" spans="2:74" x14ac:dyDescent="0.2">
      <c r="B286" s="210"/>
      <c r="C286" s="203"/>
      <c r="D286" s="203"/>
      <c r="E286" s="261"/>
      <c r="F286" s="224"/>
      <c r="G286" s="224"/>
      <c r="H286" s="224"/>
      <c r="I286" s="224"/>
      <c r="J286" s="224"/>
      <c r="K286" s="224"/>
      <c r="L286" s="224"/>
      <c r="M286" s="224"/>
      <c r="N286" s="224"/>
      <c r="O286" s="224"/>
      <c r="P286" s="224"/>
      <c r="Q286" s="224"/>
      <c r="R286" s="224"/>
      <c r="S286" s="224"/>
      <c r="T286" s="224"/>
      <c r="U286" s="224"/>
      <c r="V286" s="224"/>
      <c r="W286" s="224"/>
      <c r="X286" s="224"/>
      <c r="Y286" s="224"/>
      <c r="Z286" s="224"/>
      <c r="AA286" s="224"/>
      <c r="AB286" s="224"/>
      <c r="AC286" s="224"/>
      <c r="AD286" s="224"/>
      <c r="AE286" s="224"/>
      <c r="AF286" s="224"/>
      <c r="AG286" s="224"/>
      <c r="AH286" s="224"/>
      <c r="AI286" s="224"/>
      <c r="AJ286" s="224"/>
      <c r="AK286" s="224"/>
      <c r="AL286" s="224"/>
      <c r="AM286" s="224"/>
      <c r="AN286" s="224"/>
      <c r="AO286" s="224"/>
      <c r="AP286" s="224"/>
      <c r="AQ286" s="224"/>
      <c r="AR286" s="224"/>
      <c r="AS286" s="224"/>
      <c r="AT286" s="224"/>
      <c r="AU286" s="224"/>
      <c r="AV286" s="224"/>
      <c r="AW286" s="224"/>
      <c r="AX286" s="224"/>
      <c r="AY286" s="224"/>
      <c r="AZ286" s="224"/>
      <c r="BA286" s="224"/>
      <c r="BB286" s="224"/>
      <c r="BC286" s="224"/>
      <c r="BD286" s="224"/>
      <c r="BE286" s="224"/>
      <c r="BF286" s="224"/>
      <c r="BG286" s="224"/>
      <c r="BH286" s="224"/>
      <c r="BI286" s="224"/>
      <c r="BJ286" s="224"/>
      <c r="BK286" s="224"/>
      <c r="BL286" s="224"/>
      <c r="BM286" s="224"/>
      <c r="BN286" s="224"/>
      <c r="BO286" s="224"/>
      <c r="BP286" s="224"/>
      <c r="BQ286" s="224"/>
      <c r="BR286" s="224"/>
      <c r="BS286" s="224"/>
      <c r="BT286" s="224"/>
      <c r="BU286" s="224"/>
      <c r="BV286" s="224"/>
    </row>
    <row r="287" spans="2:74" x14ac:dyDescent="0.2">
      <c r="B287" s="210"/>
      <c r="C287" s="203"/>
      <c r="D287" s="203"/>
      <c r="E287" s="261"/>
      <c r="F287" s="224"/>
      <c r="G287" s="224"/>
      <c r="H287" s="224"/>
      <c r="I287" s="224"/>
      <c r="J287" s="224"/>
      <c r="K287" s="224"/>
      <c r="L287" s="224"/>
      <c r="M287" s="224"/>
      <c r="N287" s="224"/>
      <c r="O287" s="224"/>
      <c r="P287" s="224"/>
      <c r="Q287" s="224"/>
      <c r="R287" s="224"/>
      <c r="S287" s="224"/>
      <c r="T287" s="224"/>
      <c r="U287" s="224"/>
      <c r="V287" s="224"/>
      <c r="W287" s="224"/>
      <c r="X287" s="224"/>
      <c r="Y287" s="224"/>
      <c r="Z287" s="224"/>
      <c r="AA287" s="224"/>
      <c r="AB287" s="224"/>
      <c r="AC287" s="224"/>
      <c r="AD287" s="224"/>
      <c r="AE287" s="224"/>
      <c r="AF287" s="224"/>
      <c r="AG287" s="224"/>
      <c r="AH287" s="224"/>
      <c r="AI287" s="224"/>
      <c r="AJ287" s="224"/>
      <c r="AK287" s="224"/>
      <c r="AL287" s="224"/>
      <c r="AM287" s="224"/>
      <c r="AN287" s="224"/>
      <c r="AO287" s="224"/>
      <c r="AP287" s="224"/>
      <c r="AQ287" s="224"/>
      <c r="AR287" s="224"/>
      <c r="AS287" s="224"/>
      <c r="AT287" s="224"/>
      <c r="AU287" s="224"/>
      <c r="AV287" s="224"/>
      <c r="AW287" s="224"/>
      <c r="AX287" s="224"/>
      <c r="AY287" s="224"/>
      <c r="AZ287" s="224"/>
      <c r="BA287" s="224"/>
      <c r="BB287" s="224"/>
      <c r="BC287" s="224"/>
      <c r="BD287" s="224"/>
      <c r="BE287" s="224"/>
      <c r="BF287" s="224"/>
      <c r="BG287" s="224"/>
      <c r="BH287" s="224"/>
      <c r="BI287" s="224"/>
      <c r="BJ287" s="224"/>
      <c r="BK287" s="224"/>
      <c r="BL287" s="224"/>
      <c r="BM287" s="224"/>
      <c r="BN287" s="224"/>
      <c r="BO287" s="224"/>
      <c r="BP287" s="224"/>
      <c r="BQ287" s="224"/>
      <c r="BR287" s="224"/>
      <c r="BS287" s="224"/>
      <c r="BT287" s="224"/>
      <c r="BU287" s="224"/>
      <c r="BV287" s="224"/>
    </row>
    <row r="288" spans="2:74" x14ac:dyDescent="0.2">
      <c r="B288" s="210"/>
      <c r="C288" s="203"/>
      <c r="D288" s="203"/>
      <c r="E288" s="261"/>
      <c r="F288" s="224"/>
      <c r="G288" s="224"/>
      <c r="H288" s="224"/>
      <c r="I288" s="224"/>
      <c r="J288" s="224"/>
      <c r="K288" s="224"/>
      <c r="L288" s="224"/>
      <c r="M288" s="224"/>
      <c r="N288" s="224"/>
      <c r="O288" s="224"/>
      <c r="P288" s="224"/>
      <c r="Q288" s="224"/>
      <c r="R288" s="224"/>
      <c r="S288" s="224"/>
      <c r="T288" s="224"/>
      <c r="U288" s="224"/>
      <c r="V288" s="224"/>
      <c r="W288" s="224"/>
      <c r="X288" s="224"/>
      <c r="Y288" s="224"/>
      <c r="Z288" s="224"/>
      <c r="AA288" s="224"/>
      <c r="AB288" s="224"/>
      <c r="AC288" s="224"/>
      <c r="AD288" s="224"/>
      <c r="AE288" s="224"/>
      <c r="AF288" s="224"/>
      <c r="AG288" s="224"/>
      <c r="AH288" s="224"/>
      <c r="AI288" s="224"/>
      <c r="AJ288" s="224"/>
      <c r="AK288" s="224"/>
      <c r="AL288" s="224"/>
      <c r="AM288" s="224"/>
      <c r="AN288" s="224"/>
      <c r="AO288" s="224"/>
      <c r="AP288" s="224"/>
      <c r="AQ288" s="224"/>
      <c r="AR288" s="224"/>
      <c r="AS288" s="224"/>
      <c r="AT288" s="224"/>
      <c r="AU288" s="224"/>
      <c r="AV288" s="224"/>
      <c r="AW288" s="224"/>
      <c r="AX288" s="224"/>
      <c r="AY288" s="224"/>
      <c r="AZ288" s="224"/>
      <c r="BA288" s="224"/>
      <c r="BB288" s="224"/>
      <c r="BC288" s="224"/>
      <c r="BD288" s="224"/>
      <c r="BE288" s="224"/>
      <c r="BF288" s="224"/>
      <c r="BG288" s="224"/>
      <c r="BH288" s="224"/>
      <c r="BI288" s="224"/>
      <c r="BJ288" s="224"/>
      <c r="BK288" s="224"/>
      <c r="BL288" s="224"/>
      <c r="BM288" s="224"/>
      <c r="BN288" s="224"/>
      <c r="BO288" s="224"/>
      <c r="BP288" s="224"/>
      <c r="BQ288" s="224"/>
      <c r="BR288" s="224"/>
      <c r="BS288" s="224"/>
      <c r="BT288" s="224"/>
      <c r="BU288" s="224"/>
      <c r="BV288" s="224"/>
    </row>
  </sheetData>
  <mergeCells count="16">
    <mergeCell ref="E2:BV2"/>
    <mergeCell ref="E3:I3"/>
    <mergeCell ref="J3:N3"/>
    <mergeCell ref="O3:S3"/>
    <mergeCell ref="BR3:BV3"/>
    <mergeCell ref="AI3:AM3"/>
    <mergeCell ref="BM3:BQ3"/>
    <mergeCell ref="AS3:AW3"/>
    <mergeCell ref="AX3:BB3"/>
    <mergeCell ref="BC3:BG3"/>
    <mergeCell ref="BH3:BL3"/>
    <mergeCell ref="B26:C26"/>
    <mergeCell ref="AN3:AR3"/>
    <mergeCell ref="T3:X3"/>
    <mergeCell ref="Y3:AC3"/>
    <mergeCell ref="AD3:AH3"/>
  </mergeCells>
  <pageMargins left="0.7" right="0.7" top="0.75" bottom="0.75" header="0.3" footer="0.3"/>
  <pageSetup paperSize="9" scale="26"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290"/>
  <sheetViews>
    <sheetView view="pageBreakPreview" zoomScaleNormal="100" zoomScaleSheetLayoutView="100" workbookViewId="0">
      <selection activeCell="N26" sqref="N26"/>
    </sheetView>
  </sheetViews>
  <sheetFormatPr defaultRowHeight="12.75" x14ac:dyDescent="0.2"/>
  <cols>
    <col min="1" max="1" width="2.85546875" style="180" customWidth="1"/>
    <col min="2" max="2" width="3.28515625" style="180" customWidth="1"/>
    <col min="3" max="3" width="69.28515625" style="180" customWidth="1"/>
    <col min="4" max="4" width="6" style="180" customWidth="1"/>
    <col min="5" max="8" width="13.5703125" style="180" hidden="1" customWidth="1"/>
    <col min="9" max="9" width="13.7109375" style="180" customWidth="1"/>
    <col min="10" max="13" width="13.5703125" style="180" hidden="1" customWidth="1"/>
    <col min="14" max="14" width="13.7109375" style="180" customWidth="1"/>
    <col min="15" max="15" width="12.7109375" style="180" hidden="1" customWidth="1"/>
    <col min="16" max="17" width="11.28515625" style="180" hidden="1" customWidth="1"/>
    <col min="18" max="18" width="12.7109375" style="180" hidden="1" customWidth="1"/>
    <col min="19" max="19" width="13.7109375" style="180" customWidth="1"/>
    <col min="20" max="22" width="11.28515625" style="180" hidden="1" customWidth="1"/>
    <col min="23" max="23" width="12.7109375" style="180" hidden="1" customWidth="1"/>
    <col min="24" max="24" width="13.7109375" style="180" customWidth="1"/>
    <col min="25" max="27" width="11.28515625" style="180" hidden="1" customWidth="1"/>
    <col min="28" max="28" width="12.7109375" style="180" hidden="1" customWidth="1"/>
    <col min="29" max="29" width="13.7109375" style="180" customWidth="1"/>
    <col min="30" max="30" width="12.28515625" style="180" hidden="1" customWidth="1"/>
    <col min="31" max="31" width="12.7109375" style="180" hidden="1" customWidth="1"/>
    <col min="32" max="32" width="11.28515625" style="180" hidden="1" customWidth="1"/>
    <col min="33" max="33" width="12.7109375" style="180" hidden="1" customWidth="1"/>
    <col min="34" max="34" width="13.7109375" style="180" customWidth="1"/>
    <col min="35" max="35" width="11.28515625" style="180" hidden="1" customWidth="1"/>
    <col min="36" max="36" width="13.5703125" style="180" hidden="1" customWidth="1"/>
    <col min="37" max="37" width="11.28515625" style="180" hidden="1" customWidth="1"/>
    <col min="38" max="38" width="13.28515625" style="180" hidden="1" customWidth="1"/>
    <col min="39" max="39" width="13.7109375" style="180" customWidth="1"/>
    <col min="40" max="42" width="11.28515625" style="180" hidden="1" customWidth="1"/>
    <col min="43" max="43" width="12.7109375" style="180" hidden="1" customWidth="1"/>
    <col min="44" max="44" width="13.7109375" style="180" customWidth="1"/>
    <col min="45" max="48" width="13.5703125" style="180" hidden="1" customWidth="1"/>
    <col min="49" max="49" width="13.7109375" style="180" customWidth="1"/>
    <col min="50" max="53" width="13.5703125" style="180" hidden="1" customWidth="1"/>
    <col min="54" max="54" width="13.7109375" style="180" customWidth="1"/>
    <col min="55" max="57" width="11.28515625" style="180" hidden="1" customWidth="1"/>
    <col min="58" max="58" width="12.7109375" style="180" hidden="1" customWidth="1"/>
    <col min="59" max="62" width="11.28515625" style="180" hidden="1" customWidth="1"/>
    <col min="63" max="63" width="13.140625" style="180" hidden="1" customWidth="1"/>
    <col min="64" max="64" width="11.28515625" style="180" hidden="1" customWidth="1"/>
    <col min="65" max="66" width="12.85546875" style="180" hidden="1" customWidth="1"/>
    <col min="67" max="67" width="12" style="180" hidden="1" customWidth="1"/>
    <col min="68" max="68" width="13.140625" style="180" hidden="1" customWidth="1"/>
    <col min="69" max="69" width="12.85546875" style="180" hidden="1" customWidth="1"/>
    <col min="70" max="73" width="13.5703125" style="180" hidden="1" customWidth="1"/>
    <col min="74" max="74" width="13.7109375" style="180" customWidth="1"/>
    <col min="75" max="75" width="3.28515625" style="180" customWidth="1"/>
    <col min="76" max="76" width="7.85546875" style="180" hidden="1" customWidth="1"/>
    <col min="77" max="77" width="3.28515625" style="180" customWidth="1"/>
    <col min="78" max="78" width="9.85546875" style="180" bestFit="1" customWidth="1"/>
    <col min="79" max="79" width="9.5703125" style="180" bestFit="1" customWidth="1"/>
    <col min="80" max="256" width="9.140625" style="180"/>
    <col min="257" max="257" width="2.85546875" style="180" customWidth="1"/>
    <col min="258" max="258" width="3.28515625" style="180" customWidth="1"/>
    <col min="259" max="259" width="69.28515625" style="180" customWidth="1"/>
    <col min="260" max="260" width="6" style="180" customWidth="1"/>
    <col min="261" max="265" width="13.5703125" style="180" customWidth="1"/>
    <col min="266" max="310" width="0" style="180" hidden="1" customWidth="1"/>
    <col min="311" max="313" width="11.28515625" style="180" customWidth="1"/>
    <col min="314" max="314" width="12.7109375" style="180" customWidth="1"/>
    <col min="315" max="315" width="11.28515625" style="180" customWidth="1"/>
    <col min="316" max="325" width="0" style="180" hidden="1" customWidth="1"/>
    <col min="326" max="330" width="13.5703125" style="180" customWidth="1"/>
    <col min="331" max="331" width="3.28515625" style="180" customWidth="1"/>
    <col min="332" max="332" width="0" style="180" hidden="1" customWidth="1"/>
    <col min="333" max="333" width="3.28515625" style="180" customWidth="1"/>
    <col min="334" max="334" width="9.85546875" style="180" bestFit="1" customWidth="1"/>
    <col min="335" max="335" width="9.5703125" style="180" bestFit="1" customWidth="1"/>
    <col min="336" max="512" width="9.140625" style="180"/>
    <col min="513" max="513" width="2.85546875" style="180" customWidth="1"/>
    <col min="514" max="514" width="3.28515625" style="180" customWidth="1"/>
    <col min="515" max="515" width="69.28515625" style="180" customWidth="1"/>
    <col min="516" max="516" width="6" style="180" customWidth="1"/>
    <col min="517" max="521" width="13.5703125" style="180" customWidth="1"/>
    <col min="522" max="566" width="0" style="180" hidden="1" customWidth="1"/>
    <col min="567" max="569" width="11.28515625" style="180" customWidth="1"/>
    <col min="570" max="570" width="12.7109375" style="180" customWidth="1"/>
    <col min="571" max="571" width="11.28515625" style="180" customWidth="1"/>
    <col min="572" max="581" width="0" style="180" hidden="1" customWidth="1"/>
    <col min="582" max="586" width="13.5703125" style="180" customWidth="1"/>
    <col min="587" max="587" width="3.28515625" style="180" customWidth="1"/>
    <col min="588" max="588" width="0" style="180" hidden="1" customWidth="1"/>
    <col min="589" max="589" width="3.28515625" style="180" customWidth="1"/>
    <col min="590" max="590" width="9.85546875" style="180" bestFit="1" customWidth="1"/>
    <col min="591" max="591" width="9.5703125" style="180" bestFit="1" customWidth="1"/>
    <col min="592" max="768" width="9.140625" style="180"/>
    <col min="769" max="769" width="2.85546875" style="180" customWidth="1"/>
    <col min="770" max="770" width="3.28515625" style="180" customWidth="1"/>
    <col min="771" max="771" width="69.28515625" style="180" customWidth="1"/>
    <col min="772" max="772" width="6" style="180" customWidth="1"/>
    <col min="773" max="777" width="13.5703125" style="180" customWidth="1"/>
    <col min="778" max="822" width="0" style="180" hidden="1" customWidth="1"/>
    <col min="823" max="825" width="11.28515625" style="180" customWidth="1"/>
    <col min="826" max="826" width="12.7109375" style="180" customWidth="1"/>
    <col min="827" max="827" width="11.28515625" style="180" customWidth="1"/>
    <col min="828" max="837" width="0" style="180" hidden="1" customWidth="1"/>
    <col min="838" max="842" width="13.5703125" style="180" customWidth="1"/>
    <col min="843" max="843" width="3.28515625" style="180" customWidth="1"/>
    <col min="844" max="844" width="0" style="180" hidden="1" customWidth="1"/>
    <col min="845" max="845" width="3.28515625" style="180" customWidth="1"/>
    <col min="846" max="846" width="9.85546875" style="180" bestFit="1" customWidth="1"/>
    <col min="847" max="847" width="9.5703125" style="180" bestFit="1" customWidth="1"/>
    <col min="848" max="1024" width="9.140625" style="180"/>
    <col min="1025" max="1025" width="2.85546875" style="180" customWidth="1"/>
    <col min="1026" max="1026" width="3.28515625" style="180" customWidth="1"/>
    <col min="1027" max="1027" width="69.28515625" style="180" customWidth="1"/>
    <col min="1028" max="1028" width="6" style="180" customWidth="1"/>
    <col min="1029" max="1033" width="13.5703125" style="180" customWidth="1"/>
    <col min="1034" max="1078" width="0" style="180" hidden="1" customWidth="1"/>
    <col min="1079" max="1081" width="11.28515625" style="180" customWidth="1"/>
    <col min="1082" max="1082" width="12.7109375" style="180" customWidth="1"/>
    <col min="1083" max="1083" width="11.28515625" style="180" customWidth="1"/>
    <col min="1084" max="1093" width="0" style="180" hidden="1" customWidth="1"/>
    <col min="1094" max="1098" width="13.5703125" style="180" customWidth="1"/>
    <col min="1099" max="1099" width="3.28515625" style="180" customWidth="1"/>
    <col min="1100" max="1100" width="0" style="180" hidden="1" customWidth="1"/>
    <col min="1101" max="1101" width="3.28515625" style="180" customWidth="1"/>
    <col min="1102" max="1102" width="9.85546875" style="180" bestFit="1" customWidth="1"/>
    <col min="1103" max="1103" width="9.5703125" style="180" bestFit="1" customWidth="1"/>
    <col min="1104" max="1280" width="9.140625" style="180"/>
    <col min="1281" max="1281" width="2.85546875" style="180" customWidth="1"/>
    <col min="1282" max="1282" width="3.28515625" style="180" customWidth="1"/>
    <col min="1283" max="1283" width="69.28515625" style="180" customWidth="1"/>
    <col min="1284" max="1284" width="6" style="180" customWidth="1"/>
    <col min="1285" max="1289" width="13.5703125" style="180" customWidth="1"/>
    <col min="1290" max="1334" width="0" style="180" hidden="1" customWidth="1"/>
    <col min="1335" max="1337" width="11.28515625" style="180" customWidth="1"/>
    <col min="1338" max="1338" width="12.7109375" style="180" customWidth="1"/>
    <col min="1339" max="1339" width="11.28515625" style="180" customWidth="1"/>
    <col min="1340" max="1349" width="0" style="180" hidden="1" customWidth="1"/>
    <col min="1350" max="1354" width="13.5703125" style="180" customWidth="1"/>
    <col min="1355" max="1355" width="3.28515625" style="180" customWidth="1"/>
    <col min="1356" max="1356" width="0" style="180" hidden="1" customWidth="1"/>
    <col min="1357" max="1357" width="3.28515625" style="180" customWidth="1"/>
    <col min="1358" max="1358" width="9.85546875" style="180" bestFit="1" customWidth="1"/>
    <col min="1359" max="1359" width="9.5703125" style="180" bestFit="1" customWidth="1"/>
    <col min="1360" max="1536" width="9.140625" style="180"/>
    <col min="1537" max="1537" width="2.85546875" style="180" customWidth="1"/>
    <col min="1538" max="1538" width="3.28515625" style="180" customWidth="1"/>
    <col min="1539" max="1539" width="69.28515625" style="180" customWidth="1"/>
    <col min="1540" max="1540" width="6" style="180" customWidth="1"/>
    <col min="1541" max="1545" width="13.5703125" style="180" customWidth="1"/>
    <col min="1546" max="1590" width="0" style="180" hidden="1" customWidth="1"/>
    <col min="1591" max="1593" width="11.28515625" style="180" customWidth="1"/>
    <col min="1594" max="1594" width="12.7109375" style="180" customWidth="1"/>
    <col min="1595" max="1595" width="11.28515625" style="180" customWidth="1"/>
    <col min="1596" max="1605" width="0" style="180" hidden="1" customWidth="1"/>
    <col min="1606" max="1610" width="13.5703125" style="180" customWidth="1"/>
    <col min="1611" max="1611" width="3.28515625" style="180" customWidth="1"/>
    <col min="1612" max="1612" width="0" style="180" hidden="1" customWidth="1"/>
    <col min="1613" max="1613" width="3.28515625" style="180" customWidth="1"/>
    <col min="1614" max="1614" width="9.85546875" style="180" bestFit="1" customWidth="1"/>
    <col min="1615" max="1615" width="9.5703125" style="180" bestFit="1" customWidth="1"/>
    <col min="1616" max="1792" width="9.140625" style="180"/>
    <col min="1793" max="1793" width="2.85546875" style="180" customWidth="1"/>
    <col min="1794" max="1794" width="3.28515625" style="180" customWidth="1"/>
    <col min="1795" max="1795" width="69.28515625" style="180" customWidth="1"/>
    <col min="1796" max="1796" width="6" style="180" customWidth="1"/>
    <col min="1797" max="1801" width="13.5703125" style="180" customWidth="1"/>
    <col min="1802" max="1846" width="0" style="180" hidden="1" customWidth="1"/>
    <col min="1847" max="1849" width="11.28515625" style="180" customWidth="1"/>
    <col min="1850" max="1850" width="12.7109375" style="180" customWidth="1"/>
    <col min="1851" max="1851" width="11.28515625" style="180" customWidth="1"/>
    <col min="1852" max="1861" width="0" style="180" hidden="1" customWidth="1"/>
    <col min="1862" max="1866" width="13.5703125" style="180" customWidth="1"/>
    <col min="1867" max="1867" width="3.28515625" style="180" customWidth="1"/>
    <col min="1868" max="1868" width="0" style="180" hidden="1" customWidth="1"/>
    <col min="1869" max="1869" width="3.28515625" style="180" customWidth="1"/>
    <col min="1870" max="1870" width="9.85546875" style="180" bestFit="1" customWidth="1"/>
    <col min="1871" max="1871" width="9.5703125" style="180" bestFit="1" customWidth="1"/>
    <col min="1872" max="2048" width="9.140625" style="180"/>
    <col min="2049" max="2049" width="2.85546875" style="180" customWidth="1"/>
    <col min="2050" max="2050" width="3.28515625" style="180" customWidth="1"/>
    <col min="2051" max="2051" width="69.28515625" style="180" customWidth="1"/>
    <col min="2052" max="2052" width="6" style="180" customWidth="1"/>
    <col min="2053" max="2057" width="13.5703125" style="180" customWidth="1"/>
    <col min="2058" max="2102" width="0" style="180" hidden="1" customWidth="1"/>
    <col min="2103" max="2105" width="11.28515625" style="180" customWidth="1"/>
    <col min="2106" max="2106" width="12.7109375" style="180" customWidth="1"/>
    <col min="2107" max="2107" width="11.28515625" style="180" customWidth="1"/>
    <col min="2108" max="2117" width="0" style="180" hidden="1" customWidth="1"/>
    <col min="2118" max="2122" width="13.5703125" style="180" customWidth="1"/>
    <col min="2123" max="2123" width="3.28515625" style="180" customWidth="1"/>
    <col min="2124" max="2124" width="0" style="180" hidden="1" customWidth="1"/>
    <col min="2125" max="2125" width="3.28515625" style="180" customWidth="1"/>
    <col min="2126" max="2126" width="9.85546875" style="180" bestFit="1" customWidth="1"/>
    <col min="2127" max="2127" width="9.5703125" style="180" bestFit="1" customWidth="1"/>
    <col min="2128" max="2304" width="9.140625" style="180"/>
    <col min="2305" max="2305" width="2.85546875" style="180" customWidth="1"/>
    <col min="2306" max="2306" width="3.28515625" style="180" customWidth="1"/>
    <col min="2307" max="2307" width="69.28515625" style="180" customWidth="1"/>
    <col min="2308" max="2308" width="6" style="180" customWidth="1"/>
    <col min="2309" max="2313" width="13.5703125" style="180" customWidth="1"/>
    <col min="2314" max="2358" width="0" style="180" hidden="1" customWidth="1"/>
    <col min="2359" max="2361" width="11.28515625" style="180" customWidth="1"/>
    <col min="2362" max="2362" width="12.7109375" style="180" customWidth="1"/>
    <col min="2363" max="2363" width="11.28515625" style="180" customWidth="1"/>
    <col min="2364" max="2373" width="0" style="180" hidden="1" customWidth="1"/>
    <col min="2374" max="2378" width="13.5703125" style="180" customWidth="1"/>
    <col min="2379" max="2379" width="3.28515625" style="180" customWidth="1"/>
    <col min="2380" max="2380" width="0" style="180" hidden="1" customWidth="1"/>
    <col min="2381" max="2381" width="3.28515625" style="180" customWidth="1"/>
    <col min="2382" max="2382" width="9.85546875" style="180" bestFit="1" customWidth="1"/>
    <col min="2383" max="2383" width="9.5703125" style="180" bestFit="1" customWidth="1"/>
    <col min="2384" max="2560" width="9.140625" style="180"/>
    <col min="2561" max="2561" width="2.85546875" style="180" customWidth="1"/>
    <col min="2562" max="2562" width="3.28515625" style="180" customWidth="1"/>
    <col min="2563" max="2563" width="69.28515625" style="180" customWidth="1"/>
    <col min="2564" max="2564" width="6" style="180" customWidth="1"/>
    <col min="2565" max="2569" width="13.5703125" style="180" customWidth="1"/>
    <col min="2570" max="2614" width="0" style="180" hidden="1" customWidth="1"/>
    <col min="2615" max="2617" width="11.28515625" style="180" customWidth="1"/>
    <col min="2618" max="2618" width="12.7109375" style="180" customWidth="1"/>
    <col min="2619" max="2619" width="11.28515625" style="180" customWidth="1"/>
    <col min="2620" max="2629" width="0" style="180" hidden="1" customWidth="1"/>
    <col min="2630" max="2634" width="13.5703125" style="180" customWidth="1"/>
    <col min="2635" max="2635" width="3.28515625" style="180" customWidth="1"/>
    <col min="2636" max="2636" width="0" style="180" hidden="1" customWidth="1"/>
    <col min="2637" max="2637" width="3.28515625" style="180" customWidth="1"/>
    <col min="2638" max="2638" width="9.85546875" style="180" bestFit="1" customWidth="1"/>
    <col min="2639" max="2639" width="9.5703125" style="180" bestFit="1" customWidth="1"/>
    <col min="2640" max="2816" width="9.140625" style="180"/>
    <col min="2817" max="2817" width="2.85546875" style="180" customWidth="1"/>
    <col min="2818" max="2818" width="3.28515625" style="180" customWidth="1"/>
    <col min="2819" max="2819" width="69.28515625" style="180" customWidth="1"/>
    <col min="2820" max="2820" width="6" style="180" customWidth="1"/>
    <col min="2821" max="2825" width="13.5703125" style="180" customWidth="1"/>
    <col min="2826" max="2870" width="0" style="180" hidden="1" customWidth="1"/>
    <col min="2871" max="2873" width="11.28515625" style="180" customWidth="1"/>
    <col min="2874" max="2874" width="12.7109375" style="180" customWidth="1"/>
    <col min="2875" max="2875" width="11.28515625" style="180" customWidth="1"/>
    <col min="2876" max="2885" width="0" style="180" hidden="1" customWidth="1"/>
    <col min="2886" max="2890" width="13.5703125" style="180" customWidth="1"/>
    <col min="2891" max="2891" width="3.28515625" style="180" customWidth="1"/>
    <col min="2892" max="2892" width="0" style="180" hidden="1" customWidth="1"/>
    <col min="2893" max="2893" width="3.28515625" style="180" customWidth="1"/>
    <col min="2894" max="2894" width="9.85546875" style="180" bestFit="1" customWidth="1"/>
    <col min="2895" max="2895" width="9.5703125" style="180" bestFit="1" customWidth="1"/>
    <col min="2896" max="3072" width="9.140625" style="180"/>
    <col min="3073" max="3073" width="2.85546875" style="180" customWidth="1"/>
    <col min="3074" max="3074" width="3.28515625" style="180" customWidth="1"/>
    <col min="3075" max="3075" width="69.28515625" style="180" customWidth="1"/>
    <col min="3076" max="3076" width="6" style="180" customWidth="1"/>
    <col min="3077" max="3081" width="13.5703125" style="180" customWidth="1"/>
    <col min="3082" max="3126" width="0" style="180" hidden="1" customWidth="1"/>
    <col min="3127" max="3129" width="11.28515625" style="180" customWidth="1"/>
    <col min="3130" max="3130" width="12.7109375" style="180" customWidth="1"/>
    <col min="3131" max="3131" width="11.28515625" style="180" customWidth="1"/>
    <col min="3132" max="3141" width="0" style="180" hidden="1" customWidth="1"/>
    <col min="3142" max="3146" width="13.5703125" style="180" customWidth="1"/>
    <col min="3147" max="3147" width="3.28515625" style="180" customWidth="1"/>
    <col min="3148" max="3148" width="0" style="180" hidden="1" customWidth="1"/>
    <col min="3149" max="3149" width="3.28515625" style="180" customWidth="1"/>
    <col min="3150" max="3150" width="9.85546875" style="180" bestFit="1" customWidth="1"/>
    <col min="3151" max="3151" width="9.5703125" style="180" bestFit="1" customWidth="1"/>
    <col min="3152" max="3328" width="9.140625" style="180"/>
    <col min="3329" max="3329" width="2.85546875" style="180" customWidth="1"/>
    <col min="3330" max="3330" width="3.28515625" style="180" customWidth="1"/>
    <col min="3331" max="3331" width="69.28515625" style="180" customWidth="1"/>
    <col min="3332" max="3332" width="6" style="180" customWidth="1"/>
    <col min="3333" max="3337" width="13.5703125" style="180" customWidth="1"/>
    <col min="3338" max="3382" width="0" style="180" hidden="1" customWidth="1"/>
    <col min="3383" max="3385" width="11.28515625" style="180" customWidth="1"/>
    <col min="3386" max="3386" width="12.7109375" style="180" customWidth="1"/>
    <col min="3387" max="3387" width="11.28515625" style="180" customWidth="1"/>
    <col min="3388" max="3397" width="0" style="180" hidden="1" customWidth="1"/>
    <col min="3398" max="3402" width="13.5703125" style="180" customWidth="1"/>
    <col min="3403" max="3403" width="3.28515625" style="180" customWidth="1"/>
    <col min="3404" max="3404" width="0" style="180" hidden="1" customWidth="1"/>
    <col min="3405" max="3405" width="3.28515625" style="180" customWidth="1"/>
    <col min="3406" max="3406" width="9.85546875" style="180" bestFit="1" customWidth="1"/>
    <col min="3407" max="3407" width="9.5703125" style="180" bestFit="1" customWidth="1"/>
    <col min="3408" max="3584" width="9.140625" style="180"/>
    <col min="3585" max="3585" width="2.85546875" style="180" customWidth="1"/>
    <col min="3586" max="3586" width="3.28515625" style="180" customWidth="1"/>
    <col min="3587" max="3587" width="69.28515625" style="180" customWidth="1"/>
    <col min="3588" max="3588" width="6" style="180" customWidth="1"/>
    <col min="3589" max="3593" width="13.5703125" style="180" customWidth="1"/>
    <col min="3594" max="3638" width="0" style="180" hidden="1" customWidth="1"/>
    <col min="3639" max="3641" width="11.28515625" style="180" customWidth="1"/>
    <col min="3642" max="3642" width="12.7109375" style="180" customWidth="1"/>
    <col min="3643" max="3643" width="11.28515625" style="180" customWidth="1"/>
    <col min="3644" max="3653" width="0" style="180" hidden="1" customWidth="1"/>
    <col min="3654" max="3658" width="13.5703125" style="180" customWidth="1"/>
    <col min="3659" max="3659" width="3.28515625" style="180" customWidth="1"/>
    <col min="3660" max="3660" width="0" style="180" hidden="1" customWidth="1"/>
    <col min="3661" max="3661" width="3.28515625" style="180" customWidth="1"/>
    <col min="3662" max="3662" width="9.85546875" style="180" bestFit="1" customWidth="1"/>
    <col min="3663" max="3663" width="9.5703125" style="180" bestFit="1" customWidth="1"/>
    <col min="3664" max="3840" width="9.140625" style="180"/>
    <col min="3841" max="3841" width="2.85546875" style="180" customWidth="1"/>
    <col min="3842" max="3842" width="3.28515625" style="180" customWidth="1"/>
    <col min="3843" max="3843" width="69.28515625" style="180" customWidth="1"/>
    <col min="3844" max="3844" width="6" style="180" customWidth="1"/>
    <col min="3845" max="3849" width="13.5703125" style="180" customWidth="1"/>
    <col min="3850" max="3894" width="0" style="180" hidden="1" customWidth="1"/>
    <col min="3895" max="3897" width="11.28515625" style="180" customWidth="1"/>
    <col min="3898" max="3898" width="12.7109375" style="180" customWidth="1"/>
    <col min="3899" max="3899" width="11.28515625" style="180" customWidth="1"/>
    <col min="3900" max="3909" width="0" style="180" hidden="1" customWidth="1"/>
    <col min="3910" max="3914" width="13.5703125" style="180" customWidth="1"/>
    <col min="3915" max="3915" width="3.28515625" style="180" customWidth="1"/>
    <col min="3916" max="3916" width="0" style="180" hidden="1" customWidth="1"/>
    <col min="3917" max="3917" width="3.28515625" style="180" customWidth="1"/>
    <col min="3918" max="3918" width="9.85546875" style="180" bestFit="1" customWidth="1"/>
    <col min="3919" max="3919" width="9.5703125" style="180" bestFit="1" customWidth="1"/>
    <col min="3920" max="4096" width="9.140625" style="180"/>
    <col min="4097" max="4097" width="2.85546875" style="180" customWidth="1"/>
    <col min="4098" max="4098" width="3.28515625" style="180" customWidth="1"/>
    <col min="4099" max="4099" width="69.28515625" style="180" customWidth="1"/>
    <col min="4100" max="4100" width="6" style="180" customWidth="1"/>
    <col min="4101" max="4105" width="13.5703125" style="180" customWidth="1"/>
    <col min="4106" max="4150" width="0" style="180" hidden="1" customWidth="1"/>
    <col min="4151" max="4153" width="11.28515625" style="180" customWidth="1"/>
    <col min="4154" max="4154" width="12.7109375" style="180" customWidth="1"/>
    <col min="4155" max="4155" width="11.28515625" style="180" customWidth="1"/>
    <col min="4156" max="4165" width="0" style="180" hidden="1" customWidth="1"/>
    <col min="4166" max="4170" width="13.5703125" style="180" customWidth="1"/>
    <col min="4171" max="4171" width="3.28515625" style="180" customWidth="1"/>
    <col min="4172" max="4172" width="0" style="180" hidden="1" customWidth="1"/>
    <col min="4173" max="4173" width="3.28515625" style="180" customWidth="1"/>
    <col min="4174" max="4174" width="9.85546875" style="180" bestFit="1" customWidth="1"/>
    <col min="4175" max="4175" width="9.5703125" style="180" bestFit="1" customWidth="1"/>
    <col min="4176" max="4352" width="9.140625" style="180"/>
    <col min="4353" max="4353" width="2.85546875" style="180" customWidth="1"/>
    <col min="4354" max="4354" width="3.28515625" style="180" customWidth="1"/>
    <col min="4355" max="4355" width="69.28515625" style="180" customWidth="1"/>
    <col min="4356" max="4356" width="6" style="180" customWidth="1"/>
    <col min="4357" max="4361" width="13.5703125" style="180" customWidth="1"/>
    <col min="4362" max="4406" width="0" style="180" hidden="1" customWidth="1"/>
    <col min="4407" max="4409" width="11.28515625" style="180" customWidth="1"/>
    <col min="4410" max="4410" width="12.7109375" style="180" customWidth="1"/>
    <col min="4411" max="4411" width="11.28515625" style="180" customWidth="1"/>
    <col min="4412" max="4421" width="0" style="180" hidden="1" customWidth="1"/>
    <col min="4422" max="4426" width="13.5703125" style="180" customWidth="1"/>
    <col min="4427" max="4427" width="3.28515625" style="180" customWidth="1"/>
    <col min="4428" max="4428" width="0" style="180" hidden="1" customWidth="1"/>
    <col min="4429" max="4429" width="3.28515625" style="180" customWidth="1"/>
    <col min="4430" max="4430" width="9.85546875" style="180" bestFit="1" customWidth="1"/>
    <col min="4431" max="4431" width="9.5703125" style="180" bestFit="1" customWidth="1"/>
    <col min="4432" max="4608" width="9.140625" style="180"/>
    <col min="4609" max="4609" width="2.85546875" style="180" customWidth="1"/>
    <col min="4610" max="4610" width="3.28515625" style="180" customWidth="1"/>
    <col min="4611" max="4611" width="69.28515625" style="180" customWidth="1"/>
    <col min="4612" max="4612" width="6" style="180" customWidth="1"/>
    <col min="4613" max="4617" width="13.5703125" style="180" customWidth="1"/>
    <col min="4618" max="4662" width="0" style="180" hidden="1" customWidth="1"/>
    <col min="4663" max="4665" width="11.28515625" style="180" customWidth="1"/>
    <col min="4666" max="4666" width="12.7109375" style="180" customWidth="1"/>
    <col min="4667" max="4667" width="11.28515625" style="180" customWidth="1"/>
    <col min="4668" max="4677" width="0" style="180" hidden="1" customWidth="1"/>
    <col min="4678" max="4682" width="13.5703125" style="180" customWidth="1"/>
    <col min="4683" max="4683" width="3.28515625" style="180" customWidth="1"/>
    <col min="4684" max="4684" width="0" style="180" hidden="1" customWidth="1"/>
    <col min="4685" max="4685" width="3.28515625" style="180" customWidth="1"/>
    <col min="4686" max="4686" width="9.85546875" style="180" bestFit="1" customWidth="1"/>
    <col min="4687" max="4687" width="9.5703125" style="180" bestFit="1" customWidth="1"/>
    <col min="4688" max="4864" width="9.140625" style="180"/>
    <col min="4865" max="4865" width="2.85546875" style="180" customWidth="1"/>
    <col min="4866" max="4866" width="3.28515625" style="180" customWidth="1"/>
    <col min="4867" max="4867" width="69.28515625" style="180" customWidth="1"/>
    <col min="4868" max="4868" width="6" style="180" customWidth="1"/>
    <col min="4869" max="4873" width="13.5703125" style="180" customWidth="1"/>
    <col min="4874" max="4918" width="0" style="180" hidden="1" customWidth="1"/>
    <col min="4919" max="4921" width="11.28515625" style="180" customWidth="1"/>
    <col min="4922" max="4922" width="12.7109375" style="180" customWidth="1"/>
    <col min="4923" max="4923" width="11.28515625" style="180" customWidth="1"/>
    <col min="4924" max="4933" width="0" style="180" hidden="1" customWidth="1"/>
    <col min="4934" max="4938" width="13.5703125" style="180" customWidth="1"/>
    <col min="4939" max="4939" width="3.28515625" style="180" customWidth="1"/>
    <col min="4940" max="4940" width="0" style="180" hidden="1" customWidth="1"/>
    <col min="4941" max="4941" width="3.28515625" style="180" customWidth="1"/>
    <col min="4942" max="4942" width="9.85546875" style="180" bestFit="1" customWidth="1"/>
    <col min="4943" max="4943" width="9.5703125" style="180" bestFit="1" customWidth="1"/>
    <col min="4944" max="5120" width="9.140625" style="180"/>
    <col min="5121" max="5121" width="2.85546875" style="180" customWidth="1"/>
    <col min="5122" max="5122" width="3.28515625" style="180" customWidth="1"/>
    <col min="5123" max="5123" width="69.28515625" style="180" customWidth="1"/>
    <col min="5124" max="5124" width="6" style="180" customWidth="1"/>
    <col min="5125" max="5129" width="13.5703125" style="180" customWidth="1"/>
    <col min="5130" max="5174" width="0" style="180" hidden="1" customWidth="1"/>
    <col min="5175" max="5177" width="11.28515625" style="180" customWidth="1"/>
    <col min="5178" max="5178" width="12.7109375" style="180" customWidth="1"/>
    <col min="5179" max="5179" width="11.28515625" style="180" customWidth="1"/>
    <col min="5180" max="5189" width="0" style="180" hidden="1" customWidth="1"/>
    <col min="5190" max="5194" width="13.5703125" style="180" customWidth="1"/>
    <col min="5195" max="5195" width="3.28515625" style="180" customWidth="1"/>
    <col min="5196" max="5196" width="0" style="180" hidden="1" customWidth="1"/>
    <col min="5197" max="5197" width="3.28515625" style="180" customWidth="1"/>
    <col min="5198" max="5198" width="9.85546875" style="180" bestFit="1" customWidth="1"/>
    <col min="5199" max="5199" width="9.5703125" style="180" bestFit="1" customWidth="1"/>
    <col min="5200" max="5376" width="9.140625" style="180"/>
    <col min="5377" max="5377" width="2.85546875" style="180" customWidth="1"/>
    <col min="5378" max="5378" width="3.28515625" style="180" customWidth="1"/>
    <col min="5379" max="5379" width="69.28515625" style="180" customWidth="1"/>
    <col min="5380" max="5380" width="6" style="180" customWidth="1"/>
    <col min="5381" max="5385" width="13.5703125" style="180" customWidth="1"/>
    <col min="5386" max="5430" width="0" style="180" hidden="1" customWidth="1"/>
    <col min="5431" max="5433" width="11.28515625" style="180" customWidth="1"/>
    <col min="5434" max="5434" width="12.7109375" style="180" customWidth="1"/>
    <col min="5435" max="5435" width="11.28515625" style="180" customWidth="1"/>
    <col min="5436" max="5445" width="0" style="180" hidden="1" customWidth="1"/>
    <col min="5446" max="5450" width="13.5703125" style="180" customWidth="1"/>
    <col min="5451" max="5451" width="3.28515625" style="180" customWidth="1"/>
    <col min="5452" max="5452" width="0" style="180" hidden="1" customWidth="1"/>
    <col min="5453" max="5453" width="3.28515625" style="180" customWidth="1"/>
    <col min="5454" max="5454" width="9.85546875" style="180" bestFit="1" customWidth="1"/>
    <col min="5455" max="5455" width="9.5703125" style="180" bestFit="1" customWidth="1"/>
    <col min="5456" max="5632" width="9.140625" style="180"/>
    <col min="5633" max="5633" width="2.85546875" style="180" customWidth="1"/>
    <col min="5634" max="5634" width="3.28515625" style="180" customWidth="1"/>
    <col min="5635" max="5635" width="69.28515625" style="180" customWidth="1"/>
    <col min="5636" max="5636" width="6" style="180" customWidth="1"/>
    <col min="5637" max="5641" width="13.5703125" style="180" customWidth="1"/>
    <col min="5642" max="5686" width="0" style="180" hidden="1" customWidth="1"/>
    <col min="5687" max="5689" width="11.28515625" style="180" customWidth="1"/>
    <col min="5690" max="5690" width="12.7109375" style="180" customWidth="1"/>
    <col min="5691" max="5691" width="11.28515625" style="180" customWidth="1"/>
    <col min="5692" max="5701" width="0" style="180" hidden="1" customWidth="1"/>
    <col min="5702" max="5706" width="13.5703125" style="180" customWidth="1"/>
    <col min="5707" max="5707" width="3.28515625" style="180" customWidth="1"/>
    <col min="5708" max="5708" width="0" style="180" hidden="1" customWidth="1"/>
    <col min="5709" max="5709" width="3.28515625" style="180" customWidth="1"/>
    <col min="5710" max="5710" width="9.85546875" style="180" bestFit="1" customWidth="1"/>
    <col min="5711" max="5711" width="9.5703125" style="180" bestFit="1" customWidth="1"/>
    <col min="5712" max="5888" width="9.140625" style="180"/>
    <col min="5889" max="5889" width="2.85546875" style="180" customWidth="1"/>
    <col min="5890" max="5890" width="3.28515625" style="180" customWidth="1"/>
    <col min="5891" max="5891" width="69.28515625" style="180" customWidth="1"/>
    <col min="5892" max="5892" width="6" style="180" customWidth="1"/>
    <col min="5893" max="5897" width="13.5703125" style="180" customWidth="1"/>
    <col min="5898" max="5942" width="0" style="180" hidden="1" customWidth="1"/>
    <col min="5943" max="5945" width="11.28515625" style="180" customWidth="1"/>
    <col min="5946" max="5946" width="12.7109375" style="180" customWidth="1"/>
    <col min="5947" max="5947" width="11.28515625" style="180" customWidth="1"/>
    <col min="5948" max="5957" width="0" style="180" hidden="1" customWidth="1"/>
    <col min="5958" max="5962" width="13.5703125" style="180" customWidth="1"/>
    <col min="5963" max="5963" width="3.28515625" style="180" customWidth="1"/>
    <col min="5964" max="5964" width="0" style="180" hidden="1" customWidth="1"/>
    <col min="5965" max="5965" width="3.28515625" style="180" customWidth="1"/>
    <col min="5966" max="5966" width="9.85546875" style="180" bestFit="1" customWidth="1"/>
    <col min="5967" max="5967" width="9.5703125" style="180" bestFit="1" customWidth="1"/>
    <col min="5968" max="6144" width="9.140625" style="180"/>
    <col min="6145" max="6145" width="2.85546875" style="180" customWidth="1"/>
    <col min="6146" max="6146" width="3.28515625" style="180" customWidth="1"/>
    <col min="6147" max="6147" width="69.28515625" style="180" customWidth="1"/>
    <col min="6148" max="6148" width="6" style="180" customWidth="1"/>
    <col min="6149" max="6153" width="13.5703125" style="180" customWidth="1"/>
    <col min="6154" max="6198" width="0" style="180" hidden="1" customWidth="1"/>
    <col min="6199" max="6201" width="11.28515625" style="180" customWidth="1"/>
    <col min="6202" max="6202" width="12.7109375" style="180" customWidth="1"/>
    <col min="6203" max="6203" width="11.28515625" style="180" customWidth="1"/>
    <col min="6204" max="6213" width="0" style="180" hidden="1" customWidth="1"/>
    <col min="6214" max="6218" width="13.5703125" style="180" customWidth="1"/>
    <col min="6219" max="6219" width="3.28515625" style="180" customWidth="1"/>
    <col min="6220" max="6220" width="0" style="180" hidden="1" customWidth="1"/>
    <col min="6221" max="6221" width="3.28515625" style="180" customWidth="1"/>
    <col min="6222" max="6222" width="9.85546875" style="180" bestFit="1" customWidth="1"/>
    <col min="6223" max="6223" width="9.5703125" style="180" bestFit="1" customWidth="1"/>
    <col min="6224" max="6400" width="9.140625" style="180"/>
    <col min="6401" max="6401" width="2.85546875" style="180" customWidth="1"/>
    <col min="6402" max="6402" width="3.28515625" style="180" customWidth="1"/>
    <col min="6403" max="6403" width="69.28515625" style="180" customWidth="1"/>
    <col min="6404" max="6404" width="6" style="180" customWidth="1"/>
    <col min="6405" max="6409" width="13.5703125" style="180" customWidth="1"/>
    <col min="6410" max="6454" width="0" style="180" hidden="1" customWidth="1"/>
    <col min="6455" max="6457" width="11.28515625" style="180" customWidth="1"/>
    <col min="6458" max="6458" width="12.7109375" style="180" customWidth="1"/>
    <col min="6459" max="6459" width="11.28515625" style="180" customWidth="1"/>
    <col min="6460" max="6469" width="0" style="180" hidden="1" customWidth="1"/>
    <col min="6470" max="6474" width="13.5703125" style="180" customWidth="1"/>
    <col min="6475" max="6475" width="3.28515625" style="180" customWidth="1"/>
    <col min="6476" max="6476" width="0" style="180" hidden="1" customWidth="1"/>
    <col min="6477" max="6477" width="3.28515625" style="180" customWidth="1"/>
    <col min="6478" max="6478" width="9.85546875" style="180" bestFit="1" customWidth="1"/>
    <col min="6479" max="6479" width="9.5703125" style="180" bestFit="1" customWidth="1"/>
    <col min="6480" max="6656" width="9.140625" style="180"/>
    <col min="6657" max="6657" width="2.85546875" style="180" customWidth="1"/>
    <col min="6658" max="6658" width="3.28515625" style="180" customWidth="1"/>
    <col min="6659" max="6659" width="69.28515625" style="180" customWidth="1"/>
    <col min="6660" max="6660" width="6" style="180" customWidth="1"/>
    <col min="6661" max="6665" width="13.5703125" style="180" customWidth="1"/>
    <col min="6666" max="6710" width="0" style="180" hidden="1" customWidth="1"/>
    <col min="6711" max="6713" width="11.28515625" style="180" customWidth="1"/>
    <col min="6714" max="6714" width="12.7109375" style="180" customWidth="1"/>
    <col min="6715" max="6715" width="11.28515625" style="180" customWidth="1"/>
    <col min="6716" max="6725" width="0" style="180" hidden="1" customWidth="1"/>
    <col min="6726" max="6730" width="13.5703125" style="180" customWidth="1"/>
    <col min="6731" max="6731" width="3.28515625" style="180" customWidth="1"/>
    <col min="6732" max="6732" width="0" style="180" hidden="1" customWidth="1"/>
    <col min="6733" max="6733" width="3.28515625" style="180" customWidth="1"/>
    <col min="6734" max="6734" width="9.85546875" style="180" bestFit="1" customWidth="1"/>
    <col min="6735" max="6735" width="9.5703125" style="180" bestFit="1" customWidth="1"/>
    <col min="6736" max="6912" width="9.140625" style="180"/>
    <col min="6913" max="6913" width="2.85546875" style="180" customWidth="1"/>
    <col min="6914" max="6914" width="3.28515625" style="180" customWidth="1"/>
    <col min="6915" max="6915" width="69.28515625" style="180" customWidth="1"/>
    <col min="6916" max="6916" width="6" style="180" customWidth="1"/>
    <col min="6917" max="6921" width="13.5703125" style="180" customWidth="1"/>
    <col min="6922" max="6966" width="0" style="180" hidden="1" customWidth="1"/>
    <col min="6967" max="6969" width="11.28515625" style="180" customWidth="1"/>
    <col min="6970" max="6970" width="12.7109375" style="180" customWidth="1"/>
    <col min="6971" max="6971" width="11.28515625" style="180" customWidth="1"/>
    <col min="6972" max="6981" width="0" style="180" hidden="1" customWidth="1"/>
    <col min="6982" max="6986" width="13.5703125" style="180" customWidth="1"/>
    <col min="6987" max="6987" width="3.28515625" style="180" customWidth="1"/>
    <col min="6988" max="6988" width="0" style="180" hidden="1" customWidth="1"/>
    <col min="6989" max="6989" width="3.28515625" style="180" customWidth="1"/>
    <col min="6990" max="6990" width="9.85546875" style="180" bestFit="1" customWidth="1"/>
    <col min="6991" max="6991" width="9.5703125" style="180" bestFit="1" customWidth="1"/>
    <col min="6992" max="7168" width="9.140625" style="180"/>
    <col min="7169" max="7169" width="2.85546875" style="180" customWidth="1"/>
    <col min="7170" max="7170" width="3.28515625" style="180" customWidth="1"/>
    <col min="7171" max="7171" width="69.28515625" style="180" customWidth="1"/>
    <col min="7172" max="7172" width="6" style="180" customWidth="1"/>
    <col min="7173" max="7177" width="13.5703125" style="180" customWidth="1"/>
    <col min="7178" max="7222" width="0" style="180" hidden="1" customWidth="1"/>
    <col min="7223" max="7225" width="11.28515625" style="180" customWidth="1"/>
    <col min="7226" max="7226" width="12.7109375" style="180" customWidth="1"/>
    <col min="7227" max="7227" width="11.28515625" style="180" customWidth="1"/>
    <col min="7228" max="7237" width="0" style="180" hidden="1" customWidth="1"/>
    <col min="7238" max="7242" width="13.5703125" style="180" customWidth="1"/>
    <col min="7243" max="7243" width="3.28515625" style="180" customWidth="1"/>
    <col min="7244" max="7244" width="0" style="180" hidden="1" customWidth="1"/>
    <col min="7245" max="7245" width="3.28515625" style="180" customWidth="1"/>
    <col min="7246" max="7246" width="9.85546875" style="180" bestFit="1" customWidth="1"/>
    <col min="7247" max="7247" width="9.5703125" style="180" bestFit="1" customWidth="1"/>
    <col min="7248" max="7424" width="9.140625" style="180"/>
    <col min="7425" max="7425" width="2.85546875" style="180" customWidth="1"/>
    <col min="7426" max="7426" width="3.28515625" style="180" customWidth="1"/>
    <col min="7427" max="7427" width="69.28515625" style="180" customWidth="1"/>
    <col min="7428" max="7428" width="6" style="180" customWidth="1"/>
    <col min="7429" max="7433" width="13.5703125" style="180" customWidth="1"/>
    <col min="7434" max="7478" width="0" style="180" hidden="1" customWidth="1"/>
    <col min="7479" max="7481" width="11.28515625" style="180" customWidth="1"/>
    <col min="7482" max="7482" width="12.7109375" style="180" customWidth="1"/>
    <col min="7483" max="7483" width="11.28515625" style="180" customWidth="1"/>
    <col min="7484" max="7493" width="0" style="180" hidden="1" customWidth="1"/>
    <col min="7494" max="7498" width="13.5703125" style="180" customWidth="1"/>
    <col min="7499" max="7499" width="3.28515625" style="180" customWidth="1"/>
    <col min="7500" max="7500" width="0" style="180" hidden="1" customWidth="1"/>
    <col min="7501" max="7501" width="3.28515625" style="180" customWidth="1"/>
    <col min="7502" max="7502" width="9.85546875" style="180" bestFit="1" customWidth="1"/>
    <col min="7503" max="7503" width="9.5703125" style="180" bestFit="1" customWidth="1"/>
    <col min="7504" max="7680" width="9.140625" style="180"/>
    <col min="7681" max="7681" width="2.85546875" style="180" customWidth="1"/>
    <col min="7682" max="7682" width="3.28515625" style="180" customWidth="1"/>
    <col min="7683" max="7683" width="69.28515625" style="180" customWidth="1"/>
    <col min="7684" max="7684" width="6" style="180" customWidth="1"/>
    <col min="7685" max="7689" width="13.5703125" style="180" customWidth="1"/>
    <col min="7690" max="7734" width="0" style="180" hidden="1" customWidth="1"/>
    <col min="7735" max="7737" width="11.28515625" style="180" customWidth="1"/>
    <col min="7738" max="7738" width="12.7109375" style="180" customWidth="1"/>
    <col min="7739" max="7739" width="11.28515625" style="180" customWidth="1"/>
    <col min="7740" max="7749" width="0" style="180" hidden="1" customWidth="1"/>
    <col min="7750" max="7754" width="13.5703125" style="180" customWidth="1"/>
    <col min="7755" max="7755" width="3.28515625" style="180" customWidth="1"/>
    <col min="7756" max="7756" width="0" style="180" hidden="1" customWidth="1"/>
    <col min="7757" max="7757" width="3.28515625" style="180" customWidth="1"/>
    <col min="7758" max="7758" width="9.85546875" style="180" bestFit="1" customWidth="1"/>
    <col min="7759" max="7759" width="9.5703125" style="180" bestFit="1" customWidth="1"/>
    <col min="7760" max="7936" width="9.140625" style="180"/>
    <col min="7937" max="7937" width="2.85546875" style="180" customWidth="1"/>
    <col min="7938" max="7938" width="3.28515625" style="180" customWidth="1"/>
    <col min="7939" max="7939" width="69.28515625" style="180" customWidth="1"/>
    <col min="7940" max="7940" width="6" style="180" customWidth="1"/>
    <col min="7941" max="7945" width="13.5703125" style="180" customWidth="1"/>
    <col min="7946" max="7990" width="0" style="180" hidden="1" customWidth="1"/>
    <col min="7991" max="7993" width="11.28515625" style="180" customWidth="1"/>
    <col min="7994" max="7994" width="12.7109375" style="180" customWidth="1"/>
    <col min="7995" max="7995" width="11.28515625" style="180" customWidth="1"/>
    <col min="7996" max="8005" width="0" style="180" hidden="1" customWidth="1"/>
    <col min="8006" max="8010" width="13.5703125" style="180" customWidth="1"/>
    <col min="8011" max="8011" width="3.28515625" style="180" customWidth="1"/>
    <col min="8012" max="8012" width="0" style="180" hidden="1" customWidth="1"/>
    <col min="8013" max="8013" width="3.28515625" style="180" customWidth="1"/>
    <col min="8014" max="8014" width="9.85546875" style="180" bestFit="1" customWidth="1"/>
    <col min="8015" max="8015" width="9.5703125" style="180" bestFit="1" customWidth="1"/>
    <col min="8016" max="8192" width="9.140625" style="180"/>
    <col min="8193" max="8193" width="2.85546875" style="180" customWidth="1"/>
    <col min="8194" max="8194" width="3.28515625" style="180" customWidth="1"/>
    <col min="8195" max="8195" width="69.28515625" style="180" customWidth="1"/>
    <col min="8196" max="8196" width="6" style="180" customWidth="1"/>
    <col min="8197" max="8201" width="13.5703125" style="180" customWidth="1"/>
    <col min="8202" max="8246" width="0" style="180" hidden="1" customWidth="1"/>
    <col min="8247" max="8249" width="11.28515625" style="180" customWidth="1"/>
    <col min="8250" max="8250" width="12.7109375" style="180" customWidth="1"/>
    <col min="8251" max="8251" width="11.28515625" style="180" customWidth="1"/>
    <col min="8252" max="8261" width="0" style="180" hidden="1" customWidth="1"/>
    <col min="8262" max="8266" width="13.5703125" style="180" customWidth="1"/>
    <col min="8267" max="8267" width="3.28515625" style="180" customWidth="1"/>
    <col min="8268" max="8268" width="0" style="180" hidden="1" customWidth="1"/>
    <col min="8269" max="8269" width="3.28515625" style="180" customWidth="1"/>
    <col min="8270" max="8270" width="9.85546875" style="180" bestFit="1" customWidth="1"/>
    <col min="8271" max="8271" width="9.5703125" style="180" bestFit="1" customWidth="1"/>
    <col min="8272" max="8448" width="9.140625" style="180"/>
    <col min="8449" max="8449" width="2.85546875" style="180" customWidth="1"/>
    <col min="8450" max="8450" width="3.28515625" style="180" customWidth="1"/>
    <col min="8451" max="8451" width="69.28515625" style="180" customWidth="1"/>
    <col min="8452" max="8452" width="6" style="180" customWidth="1"/>
    <col min="8453" max="8457" width="13.5703125" style="180" customWidth="1"/>
    <col min="8458" max="8502" width="0" style="180" hidden="1" customWidth="1"/>
    <col min="8503" max="8505" width="11.28515625" style="180" customWidth="1"/>
    <col min="8506" max="8506" width="12.7109375" style="180" customWidth="1"/>
    <col min="8507" max="8507" width="11.28515625" style="180" customWidth="1"/>
    <col min="8508" max="8517" width="0" style="180" hidden="1" customWidth="1"/>
    <col min="8518" max="8522" width="13.5703125" style="180" customWidth="1"/>
    <col min="8523" max="8523" width="3.28515625" style="180" customWidth="1"/>
    <col min="8524" max="8524" width="0" style="180" hidden="1" customWidth="1"/>
    <col min="8525" max="8525" width="3.28515625" style="180" customWidth="1"/>
    <col min="8526" max="8526" width="9.85546875" style="180" bestFit="1" customWidth="1"/>
    <col min="8527" max="8527" width="9.5703125" style="180" bestFit="1" customWidth="1"/>
    <col min="8528" max="8704" width="9.140625" style="180"/>
    <col min="8705" max="8705" width="2.85546875" style="180" customWidth="1"/>
    <col min="8706" max="8706" width="3.28515625" style="180" customWidth="1"/>
    <col min="8707" max="8707" width="69.28515625" style="180" customWidth="1"/>
    <col min="8708" max="8708" width="6" style="180" customWidth="1"/>
    <col min="8709" max="8713" width="13.5703125" style="180" customWidth="1"/>
    <col min="8714" max="8758" width="0" style="180" hidden="1" customWidth="1"/>
    <col min="8759" max="8761" width="11.28515625" style="180" customWidth="1"/>
    <col min="8762" max="8762" width="12.7109375" style="180" customWidth="1"/>
    <col min="8763" max="8763" width="11.28515625" style="180" customWidth="1"/>
    <col min="8764" max="8773" width="0" style="180" hidden="1" customWidth="1"/>
    <col min="8774" max="8778" width="13.5703125" style="180" customWidth="1"/>
    <col min="8779" max="8779" width="3.28515625" style="180" customWidth="1"/>
    <col min="8780" max="8780" width="0" style="180" hidden="1" customWidth="1"/>
    <col min="8781" max="8781" width="3.28515625" style="180" customWidth="1"/>
    <col min="8782" max="8782" width="9.85546875" style="180" bestFit="1" customWidth="1"/>
    <col min="8783" max="8783" width="9.5703125" style="180" bestFit="1" customWidth="1"/>
    <col min="8784" max="8960" width="9.140625" style="180"/>
    <col min="8961" max="8961" width="2.85546875" style="180" customWidth="1"/>
    <col min="8962" max="8962" width="3.28515625" style="180" customWidth="1"/>
    <col min="8963" max="8963" width="69.28515625" style="180" customWidth="1"/>
    <col min="8964" max="8964" width="6" style="180" customWidth="1"/>
    <col min="8965" max="8969" width="13.5703125" style="180" customWidth="1"/>
    <col min="8970" max="9014" width="0" style="180" hidden="1" customWidth="1"/>
    <col min="9015" max="9017" width="11.28515625" style="180" customWidth="1"/>
    <col min="9018" max="9018" width="12.7109375" style="180" customWidth="1"/>
    <col min="9019" max="9019" width="11.28515625" style="180" customWidth="1"/>
    <col min="9020" max="9029" width="0" style="180" hidden="1" customWidth="1"/>
    <col min="9030" max="9034" width="13.5703125" style="180" customWidth="1"/>
    <col min="9035" max="9035" width="3.28515625" style="180" customWidth="1"/>
    <col min="9036" max="9036" width="0" style="180" hidden="1" customWidth="1"/>
    <col min="9037" max="9037" width="3.28515625" style="180" customWidth="1"/>
    <col min="9038" max="9038" width="9.85546875" style="180" bestFit="1" customWidth="1"/>
    <col min="9039" max="9039" width="9.5703125" style="180" bestFit="1" customWidth="1"/>
    <col min="9040" max="9216" width="9.140625" style="180"/>
    <col min="9217" max="9217" width="2.85546875" style="180" customWidth="1"/>
    <col min="9218" max="9218" width="3.28515625" style="180" customWidth="1"/>
    <col min="9219" max="9219" width="69.28515625" style="180" customWidth="1"/>
    <col min="9220" max="9220" width="6" style="180" customWidth="1"/>
    <col min="9221" max="9225" width="13.5703125" style="180" customWidth="1"/>
    <col min="9226" max="9270" width="0" style="180" hidden="1" customWidth="1"/>
    <col min="9271" max="9273" width="11.28515625" style="180" customWidth="1"/>
    <col min="9274" max="9274" width="12.7109375" style="180" customWidth="1"/>
    <col min="9275" max="9275" width="11.28515625" style="180" customWidth="1"/>
    <col min="9276" max="9285" width="0" style="180" hidden="1" customWidth="1"/>
    <col min="9286" max="9290" width="13.5703125" style="180" customWidth="1"/>
    <col min="9291" max="9291" width="3.28515625" style="180" customWidth="1"/>
    <col min="9292" max="9292" width="0" style="180" hidden="1" customWidth="1"/>
    <col min="9293" max="9293" width="3.28515625" style="180" customWidth="1"/>
    <col min="9294" max="9294" width="9.85546875" style="180" bestFit="1" customWidth="1"/>
    <col min="9295" max="9295" width="9.5703125" style="180" bestFit="1" customWidth="1"/>
    <col min="9296" max="9472" width="9.140625" style="180"/>
    <col min="9473" max="9473" width="2.85546875" style="180" customWidth="1"/>
    <col min="9474" max="9474" width="3.28515625" style="180" customWidth="1"/>
    <col min="9475" max="9475" width="69.28515625" style="180" customWidth="1"/>
    <col min="9476" max="9476" width="6" style="180" customWidth="1"/>
    <col min="9477" max="9481" width="13.5703125" style="180" customWidth="1"/>
    <col min="9482" max="9526" width="0" style="180" hidden="1" customWidth="1"/>
    <col min="9527" max="9529" width="11.28515625" style="180" customWidth="1"/>
    <col min="9530" max="9530" width="12.7109375" style="180" customWidth="1"/>
    <col min="9531" max="9531" width="11.28515625" style="180" customWidth="1"/>
    <col min="9532" max="9541" width="0" style="180" hidden="1" customWidth="1"/>
    <col min="9542" max="9546" width="13.5703125" style="180" customWidth="1"/>
    <col min="9547" max="9547" width="3.28515625" style="180" customWidth="1"/>
    <col min="9548" max="9548" width="0" style="180" hidden="1" customWidth="1"/>
    <col min="9549" max="9549" width="3.28515625" style="180" customWidth="1"/>
    <col min="9550" max="9550" width="9.85546875" style="180" bestFit="1" customWidth="1"/>
    <col min="9551" max="9551" width="9.5703125" style="180" bestFit="1" customWidth="1"/>
    <col min="9552" max="9728" width="9.140625" style="180"/>
    <col min="9729" max="9729" width="2.85546875" style="180" customWidth="1"/>
    <col min="9730" max="9730" width="3.28515625" style="180" customWidth="1"/>
    <col min="9731" max="9731" width="69.28515625" style="180" customWidth="1"/>
    <col min="9732" max="9732" width="6" style="180" customWidth="1"/>
    <col min="9733" max="9737" width="13.5703125" style="180" customWidth="1"/>
    <col min="9738" max="9782" width="0" style="180" hidden="1" customWidth="1"/>
    <col min="9783" max="9785" width="11.28515625" style="180" customWidth="1"/>
    <col min="9786" max="9786" width="12.7109375" style="180" customWidth="1"/>
    <col min="9787" max="9787" width="11.28515625" style="180" customWidth="1"/>
    <col min="9788" max="9797" width="0" style="180" hidden="1" customWidth="1"/>
    <col min="9798" max="9802" width="13.5703125" style="180" customWidth="1"/>
    <col min="9803" max="9803" width="3.28515625" style="180" customWidth="1"/>
    <col min="9804" max="9804" width="0" style="180" hidden="1" customWidth="1"/>
    <col min="9805" max="9805" width="3.28515625" style="180" customWidth="1"/>
    <col min="9806" max="9806" width="9.85546875" style="180" bestFit="1" customWidth="1"/>
    <col min="9807" max="9807" width="9.5703125" style="180" bestFit="1" customWidth="1"/>
    <col min="9808" max="9984" width="9.140625" style="180"/>
    <col min="9985" max="9985" width="2.85546875" style="180" customWidth="1"/>
    <col min="9986" max="9986" width="3.28515625" style="180" customWidth="1"/>
    <col min="9987" max="9987" width="69.28515625" style="180" customWidth="1"/>
    <col min="9988" max="9988" width="6" style="180" customWidth="1"/>
    <col min="9989" max="9993" width="13.5703125" style="180" customWidth="1"/>
    <col min="9994" max="10038" width="0" style="180" hidden="1" customWidth="1"/>
    <col min="10039" max="10041" width="11.28515625" style="180" customWidth="1"/>
    <col min="10042" max="10042" width="12.7109375" style="180" customWidth="1"/>
    <col min="10043" max="10043" width="11.28515625" style="180" customWidth="1"/>
    <col min="10044" max="10053" width="0" style="180" hidden="1" customWidth="1"/>
    <col min="10054" max="10058" width="13.5703125" style="180" customWidth="1"/>
    <col min="10059" max="10059" width="3.28515625" style="180" customWidth="1"/>
    <col min="10060" max="10060" width="0" style="180" hidden="1" customWidth="1"/>
    <col min="10061" max="10061" width="3.28515625" style="180" customWidth="1"/>
    <col min="10062" max="10062" width="9.85546875" style="180" bestFit="1" customWidth="1"/>
    <col min="10063" max="10063" width="9.5703125" style="180" bestFit="1" customWidth="1"/>
    <col min="10064" max="10240" width="9.140625" style="180"/>
    <col min="10241" max="10241" width="2.85546875" style="180" customWidth="1"/>
    <col min="10242" max="10242" width="3.28515625" style="180" customWidth="1"/>
    <col min="10243" max="10243" width="69.28515625" style="180" customWidth="1"/>
    <col min="10244" max="10244" width="6" style="180" customWidth="1"/>
    <col min="10245" max="10249" width="13.5703125" style="180" customWidth="1"/>
    <col min="10250" max="10294" width="0" style="180" hidden="1" customWidth="1"/>
    <col min="10295" max="10297" width="11.28515625" style="180" customWidth="1"/>
    <col min="10298" max="10298" width="12.7109375" style="180" customWidth="1"/>
    <col min="10299" max="10299" width="11.28515625" style="180" customWidth="1"/>
    <col min="10300" max="10309" width="0" style="180" hidden="1" customWidth="1"/>
    <col min="10310" max="10314" width="13.5703125" style="180" customWidth="1"/>
    <col min="10315" max="10315" width="3.28515625" style="180" customWidth="1"/>
    <col min="10316" max="10316" width="0" style="180" hidden="1" customWidth="1"/>
    <col min="10317" max="10317" width="3.28515625" style="180" customWidth="1"/>
    <col min="10318" max="10318" width="9.85546875" style="180" bestFit="1" customWidth="1"/>
    <col min="10319" max="10319" width="9.5703125" style="180" bestFit="1" customWidth="1"/>
    <col min="10320" max="10496" width="9.140625" style="180"/>
    <col min="10497" max="10497" width="2.85546875" style="180" customWidth="1"/>
    <col min="10498" max="10498" width="3.28515625" style="180" customWidth="1"/>
    <col min="10499" max="10499" width="69.28515625" style="180" customWidth="1"/>
    <col min="10500" max="10500" width="6" style="180" customWidth="1"/>
    <col min="10501" max="10505" width="13.5703125" style="180" customWidth="1"/>
    <col min="10506" max="10550" width="0" style="180" hidden="1" customWidth="1"/>
    <col min="10551" max="10553" width="11.28515625" style="180" customWidth="1"/>
    <col min="10554" max="10554" width="12.7109375" style="180" customWidth="1"/>
    <col min="10555" max="10555" width="11.28515625" style="180" customWidth="1"/>
    <col min="10556" max="10565" width="0" style="180" hidden="1" customWidth="1"/>
    <col min="10566" max="10570" width="13.5703125" style="180" customWidth="1"/>
    <col min="10571" max="10571" width="3.28515625" style="180" customWidth="1"/>
    <col min="10572" max="10572" width="0" style="180" hidden="1" customWidth="1"/>
    <col min="10573" max="10573" width="3.28515625" style="180" customWidth="1"/>
    <col min="10574" max="10574" width="9.85546875" style="180" bestFit="1" customWidth="1"/>
    <col min="10575" max="10575" width="9.5703125" style="180" bestFit="1" customWidth="1"/>
    <col min="10576" max="10752" width="9.140625" style="180"/>
    <col min="10753" max="10753" width="2.85546875" style="180" customWidth="1"/>
    <col min="10754" max="10754" width="3.28515625" style="180" customWidth="1"/>
    <col min="10755" max="10755" width="69.28515625" style="180" customWidth="1"/>
    <col min="10756" max="10756" width="6" style="180" customWidth="1"/>
    <col min="10757" max="10761" width="13.5703125" style="180" customWidth="1"/>
    <col min="10762" max="10806" width="0" style="180" hidden="1" customWidth="1"/>
    <col min="10807" max="10809" width="11.28515625" style="180" customWidth="1"/>
    <col min="10810" max="10810" width="12.7109375" style="180" customWidth="1"/>
    <col min="10811" max="10811" width="11.28515625" style="180" customWidth="1"/>
    <col min="10812" max="10821" width="0" style="180" hidden="1" customWidth="1"/>
    <col min="10822" max="10826" width="13.5703125" style="180" customWidth="1"/>
    <col min="10827" max="10827" width="3.28515625" style="180" customWidth="1"/>
    <col min="10828" max="10828" width="0" style="180" hidden="1" customWidth="1"/>
    <col min="10829" max="10829" width="3.28515625" style="180" customWidth="1"/>
    <col min="10830" max="10830" width="9.85546875" style="180" bestFit="1" customWidth="1"/>
    <col min="10831" max="10831" width="9.5703125" style="180" bestFit="1" customWidth="1"/>
    <col min="10832" max="11008" width="9.140625" style="180"/>
    <col min="11009" max="11009" width="2.85546875" style="180" customWidth="1"/>
    <col min="11010" max="11010" width="3.28515625" style="180" customWidth="1"/>
    <col min="11011" max="11011" width="69.28515625" style="180" customWidth="1"/>
    <col min="11012" max="11012" width="6" style="180" customWidth="1"/>
    <col min="11013" max="11017" width="13.5703125" style="180" customWidth="1"/>
    <col min="11018" max="11062" width="0" style="180" hidden="1" customWidth="1"/>
    <col min="11063" max="11065" width="11.28515625" style="180" customWidth="1"/>
    <col min="11066" max="11066" width="12.7109375" style="180" customWidth="1"/>
    <col min="11067" max="11067" width="11.28515625" style="180" customWidth="1"/>
    <col min="11068" max="11077" width="0" style="180" hidden="1" customWidth="1"/>
    <col min="11078" max="11082" width="13.5703125" style="180" customWidth="1"/>
    <col min="11083" max="11083" width="3.28515625" style="180" customWidth="1"/>
    <col min="11084" max="11084" width="0" style="180" hidden="1" customWidth="1"/>
    <col min="11085" max="11085" width="3.28515625" style="180" customWidth="1"/>
    <col min="11086" max="11086" width="9.85546875" style="180" bestFit="1" customWidth="1"/>
    <col min="11087" max="11087" width="9.5703125" style="180" bestFit="1" customWidth="1"/>
    <col min="11088" max="11264" width="9.140625" style="180"/>
    <col min="11265" max="11265" width="2.85546875" style="180" customWidth="1"/>
    <col min="11266" max="11266" width="3.28515625" style="180" customWidth="1"/>
    <col min="11267" max="11267" width="69.28515625" style="180" customWidth="1"/>
    <col min="11268" max="11268" width="6" style="180" customWidth="1"/>
    <col min="11269" max="11273" width="13.5703125" style="180" customWidth="1"/>
    <col min="11274" max="11318" width="0" style="180" hidden="1" customWidth="1"/>
    <col min="11319" max="11321" width="11.28515625" style="180" customWidth="1"/>
    <col min="11322" max="11322" width="12.7109375" style="180" customWidth="1"/>
    <col min="11323" max="11323" width="11.28515625" style="180" customWidth="1"/>
    <col min="11324" max="11333" width="0" style="180" hidden="1" customWidth="1"/>
    <col min="11334" max="11338" width="13.5703125" style="180" customWidth="1"/>
    <col min="11339" max="11339" width="3.28515625" style="180" customWidth="1"/>
    <col min="11340" max="11340" width="0" style="180" hidden="1" customWidth="1"/>
    <col min="11341" max="11341" width="3.28515625" style="180" customWidth="1"/>
    <col min="11342" max="11342" width="9.85546875" style="180" bestFit="1" customWidth="1"/>
    <col min="11343" max="11343" width="9.5703125" style="180" bestFit="1" customWidth="1"/>
    <col min="11344" max="11520" width="9.140625" style="180"/>
    <col min="11521" max="11521" width="2.85546875" style="180" customWidth="1"/>
    <col min="11522" max="11522" width="3.28515625" style="180" customWidth="1"/>
    <col min="11523" max="11523" width="69.28515625" style="180" customWidth="1"/>
    <col min="11524" max="11524" width="6" style="180" customWidth="1"/>
    <col min="11525" max="11529" width="13.5703125" style="180" customWidth="1"/>
    <col min="11530" max="11574" width="0" style="180" hidden="1" customWidth="1"/>
    <col min="11575" max="11577" width="11.28515625" style="180" customWidth="1"/>
    <col min="11578" max="11578" width="12.7109375" style="180" customWidth="1"/>
    <col min="11579" max="11579" width="11.28515625" style="180" customWidth="1"/>
    <col min="11580" max="11589" width="0" style="180" hidden="1" customWidth="1"/>
    <col min="11590" max="11594" width="13.5703125" style="180" customWidth="1"/>
    <col min="11595" max="11595" width="3.28515625" style="180" customWidth="1"/>
    <col min="11596" max="11596" width="0" style="180" hidden="1" customWidth="1"/>
    <col min="11597" max="11597" width="3.28515625" style="180" customWidth="1"/>
    <col min="11598" max="11598" width="9.85546875" style="180" bestFit="1" customWidth="1"/>
    <col min="11599" max="11599" width="9.5703125" style="180" bestFit="1" customWidth="1"/>
    <col min="11600" max="11776" width="9.140625" style="180"/>
    <col min="11777" max="11777" width="2.85546875" style="180" customWidth="1"/>
    <col min="11778" max="11778" width="3.28515625" style="180" customWidth="1"/>
    <col min="11779" max="11779" width="69.28515625" style="180" customWidth="1"/>
    <col min="11780" max="11780" width="6" style="180" customWidth="1"/>
    <col min="11781" max="11785" width="13.5703125" style="180" customWidth="1"/>
    <col min="11786" max="11830" width="0" style="180" hidden="1" customWidth="1"/>
    <col min="11831" max="11833" width="11.28515625" style="180" customWidth="1"/>
    <col min="11834" max="11834" width="12.7109375" style="180" customWidth="1"/>
    <col min="11835" max="11835" width="11.28515625" style="180" customWidth="1"/>
    <col min="11836" max="11845" width="0" style="180" hidden="1" customWidth="1"/>
    <col min="11846" max="11850" width="13.5703125" style="180" customWidth="1"/>
    <col min="11851" max="11851" width="3.28515625" style="180" customWidth="1"/>
    <col min="11852" max="11852" width="0" style="180" hidden="1" customWidth="1"/>
    <col min="11853" max="11853" width="3.28515625" style="180" customWidth="1"/>
    <col min="11854" max="11854" width="9.85546875" style="180" bestFit="1" customWidth="1"/>
    <col min="11855" max="11855" width="9.5703125" style="180" bestFit="1" customWidth="1"/>
    <col min="11856" max="12032" width="9.140625" style="180"/>
    <col min="12033" max="12033" width="2.85546875" style="180" customWidth="1"/>
    <col min="12034" max="12034" width="3.28515625" style="180" customWidth="1"/>
    <col min="12035" max="12035" width="69.28515625" style="180" customWidth="1"/>
    <col min="12036" max="12036" width="6" style="180" customWidth="1"/>
    <col min="12037" max="12041" width="13.5703125" style="180" customWidth="1"/>
    <col min="12042" max="12086" width="0" style="180" hidden="1" customWidth="1"/>
    <col min="12087" max="12089" width="11.28515625" style="180" customWidth="1"/>
    <col min="12090" max="12090" width="12.7109375" style="180" customWidth="1"/>
    <col min="12091" max="12091" width="11.28515625" style="180" customWidth="1"/>
    <col min="12092" max="12101" width="0" style="180" hidden="1" customWidth="1"/>
    <col min="12102" max="12106" width="13.5703125" style="180" customWidth="1"/>
    <col min="12107" max="12107" width="3.28515625" style="180" customWidth="1"/>
    <col min="12108" max="12108" width="0" style="180" hidden="1" customWidth="1"/>
    <col min="12109" max="12109" width="3.28515625" style="180" customWidth="1"/>
    <col min="12110" max="12110" width="9.85546875" style="180" bestFit="1" customWidth="1"/>
    <col min="12111" max="12111" width="9.5703125" style="180" bestFit="1" customWidth="1"/>
    <col min="12112" max="12288" width="9.140625" style="180"/>
    <col min="12289" max="12289" width="2.85546875" style="180" customWidth="1"/>
    <col min="12290" max="12290" width="3.28515625" style="180" customWidth="1"/>
    <col min="12291" max="12291" width="69.28515625" style="180" customWidth="1"/>
    <col min="12292" max="12292" width="6" style="180" customWidth="1"/>
    <col min="12293" max="12297" width="13.5703125" style="180" customWidth="1"/>
    <col min="12298" max="12342" width="0" style="180" hidden="1" customWidth="1"/>
    <col min="12343" max="12345" width="11.28515625" style="180" customWidth="1"/>
    <col min="12346" max="12346" width="12.7109375" style="180" customWidth="1"/>
    <col min="12347" max="12347" width="11.28515625" style="180" customWidth="1"/>
    <col min="12348" max="12357" width="0" style="180" hidden="1" customWidth="1"/>
    <col min="12358" max="12362" width="13.5703125" style="180" customWidth="1"/>
    <col min="12363" max="12363" width="3.28515625" style="180" customWidth="1"/>
    <col min="12364" max="12364" width="0" style="180" hidden="1" customWidth="1"/>
    <col min="12365" max="12365" width="3.28515625" style="180" customWidth="1"/>
    <col min="12366" max="12366" width="9.85546875" style="180" bestFit="1" customWidth="1"/>
    <col min="12367" max="12367" width="9.5703125" style="180" bestFit="1" customWidth="1"/>
    <col min="12368" max="12544" width="9.140625" style="180"/>
    <col min="12545" max="12545" width="2.85546875" style="180" customWidth="1"/>
    <col min="12546" max="12546" width="3.28515625" style="180" customWidth="1"/>
    <col min="12547" max="12547" width="69.28515625" style="180" customWidth="1"/>
    <col min="12548" max="12548" width="6" style="180" customWidth="1"/>
    <col min="12549" max="12553" width="13.5703125" style="180" customWidth="1"/>
    <col min="12554" max="12598" width="0" style="180" hidden="1" customWidth="1"/>
    <col min="12599" max="12601" width="11.28515625" style="180" customWidth="1"/>
    <col min="12602" max="12602" width="12.7109375" style="180" customWidth="1"/>
    <col min="12603" max="12603" width="11.28515625" style="180" customWidth="1"/>
    <col min="12604" max="12613" width="0" style="180" hidden="1" customWidth="1"/>
    <col min="12614" max="12618" width="13.5703125" style="180" customWidth="1"/>
    <col min="12619" max="12619" width="3.28515625" style="180" customWidth="1"/>
    <col min="12620" max="12620" width="0" style="180" hidden="1" customWidth="1"/>
    <col min="12621" max="12621" width="3.28515625" style="180" customWidth="1"/>
    <col min="12622" max="12622" width="9.85546875" style="180" bestFit="1" customWidth="1"/>
    <col min="12623" max="12623" width="9.5703125" style="180" bestFit="1" customWidth="1"/>
    <col min="12624" max="12800" width="9.140625" style="180"/>
    <col min="12801" max="12801" width="2.85546875" style="180" customWidth="1"/>
    <col min="12802" max="12802" width="3.28515625" style="180" customWidth="1"/>
    <col min="12803" max="12803" width="69.28515625" style="180" customWidth="1"/>
    <col min="12804" max="12804" width="6" style="180" customWidth="1"/>
    <col min="12805" max="12809" width="13.5703125" style="180" customWidth="1"/>
    <col min="12810" max="12854" width="0" style="180" hidden="1" customWidth="1"/>
    <col min="12855" max="12857" width="11.28515625" style="180" customWidth="1"/>
    <col min="12858" max="12858" width="12.7109375" style="180" customWidth="1"/>
    <col min="12859" max="12859" width="11.28515625" style="180" customWidth="1"/>
    <col min="12860" max="12869" width="0" style="180" hidden="1" customWidth="1"/>
    <col min="12870" max="12874" width="13.5703125" style="180" customWidth="1"/>
    <col min="12875" max="12875" width="3.28515625" style="180" customWidth="1"/>
    <col min="12876" max="12876" width="0" style="180" hidden="1" customWidth="1"/>
    <col min="12877" max="12877" width="3.28515625" style="180" customWidth="1"/>
    <col min="12878" max="12878" width="9.85546875" style="180" bestFit="1" customWidth="1"/>
    <col min="12879" max="12879" width="9.5703125" style="180" bestFit="1" customWidth="1"/>
    <col min="12880" max="13056" width="9.140625" style="180"/>
    <col min="13057" max="13057" width="2.85546875" style="180" customWidth="1"/>
    <col min="13058" max="13058" width="3.28515625" style="180" customWidth="1"/>
    <col min="13059" max="13059" width="69.28515625" style="180" customWidth="1"/>
    <col min="13060" max="13060" width="6" style="180" customWidth="1"/>
    <col min="13061" max="13065" width="13.5703125" style="180" customWidth="1"/>
    <col min="13066" max="13110" width="0" style="180" hidden="1" customWidth="1"/>
    <col min="13111" max="13113" width="11.28515625" style="180" customWidth="1"/>
    <col min="13114" max="13114" width="12.7109375" style="180" customWidth="1"/>
    <col min="13115" max="13115" width="11.28515625" style="180" customWidth="1"/>
    <col min="13116" max="13125" width="0" style="180" hidden="1" customWidth="1"/>
    <col min="13126" max="13130" width="13.5703125" style="180" customWidth="1"/>
    <col min="13131" max="13131" width="3.28515625" style="180" customWidth="1"/>
    <col min="13132" max="13132" width="0" style="180" hidden="1" customWidth="1"/>
    <col min="13133" max="13133" width="3.28515625" style="180" customWidth="1"/>
    <col min="13134" max="13134" width="9.85546875" style="180" bestFit="1" customWidth="1"/>
    <col min="13135" max="13135" width="9.5703125" style="180" bestFit="1" customWidth="1"/>
    <col min="13136" max="13312" width="9.140625" style="180"/>
    <col min="13313" max="13313" width="2.85546875" style="180" customWidth="1"/>
    <col min="13314" max="13314" width="3.28515625" style="180" customWidth="1"/>
    <col min="13315" max="13315" width="69.28515625" style="180" customWidth="1"/>
    <col min="13316" max="13316" width="6" style="180" customWidth="1"/>
    <col min="13317" max="13321" width="13.5703125" style="180" customWidth="1"/>
    <col min="13322" max="13366" width="0" style="180" hidden="1" customWidth="1"/>
    <col min="13367" max="13369" width="11.28515625" style="180" customWidth="1"/>
    <col min="13370" max="13370" width="12.7109375" style="180" customWidth="1"/>
    <col min="13371" max="13371" width="11.28515625" style="180" customWidth="1"/>
    <col min="13372" max="13381" width="0" style="180" hidden="1" customWidth="1"/>
    <col min="13382" max="13386" width="13.5703125" style="180" customWidth="1"/>
    <col min="13387" max="13387" width="3.28515625" style="180" customWidth="1"/>
    <col min="13388" max="13388" width="0" style="180" hidden="1" customWidth="1"/>
    <col min="13389" max="13389" width="3.28515625" style="180" customWidth="1"/>
    <col min="13390" max="13390" width="9.85546875" style="180" bestFit="1" customWidth="1"/>
    <col min="13391" max="13391" width="9.5703125" style="180" bestFit="1" customWidth="1"/>
    <col min="13392" max="13568" width="9.140625" style="180"/>
    <col min="13569" max="13569" width="2.85546875" style="180" customWidth="1"/>
    <col min="13570" max="13570" width="3.28515625" style="180" customWidth="1"/>
    <col min="13571" max="13571" width="69.28515625" style="180" customWidth="1"/>
    <col min="13572" max="13572" width="6" style="180" customWidth="1"/>
    <col min="13573" max="13577" width="13.5703125" style="180" customWidth="1"/>
    <col min="13578" max="13622" width="0" style="180" hidden="1" customWidth="1"/>
    <col min="13623" max="13625" width="11.28515625" style="180" customWidth="1"/>
    <col min="13626" max="13626" width="12.7109375" style="180" customWidth="1"/>
    <col min="13627" max="13627" width="11.28515625" style="180" customWidth="1"/>
    <col min="13628" max="13637" width="0" style="180" hidden="1" customWidth="1"/>
    <col min="13638" max="13642" width="13.5703125" style="180" customWidth="1"/>
    <col min="13643" max="13643" width="3.28515625" style="180" customWidth="1"/>
    <col min="13644" max="13644" width="0" style="180" hidden="1" customWidth="1"/>
    <col min="13645" max="13645" width="3.28515625" style="180" customWidth="1"/>
    <col min="13646" max="13646" width="9.85546875" style="180" bestFit="1" customWidth="1"/>
    <col min="13647" max="13647" width="9.5703125" style="180" bestFit="1" customWidth="1"/>
    <col min="13648" max="13824" width="9.140625" style="180"/>
    <col min="13825" max="13825" width="2.85546875" style="180" customWidth="1"/>
    <col min="13826" max="13826" width="3.28515625" style="180" customWidth="1"/>
    <col min="13827" max="13827" width="69.28515625" style="180" customWidth="1"/>
    <col min="13828" max="13828" width="6" style="180" customWidth="1"/>
    <col min="13829" max="13833" width="13.5703125" style="180" customWidth="1"/>
    <col min="13834" max="13878" width="0" style="180" hidden="1" customWidth="1"/>
    <col min="13879" max="13881" width="11.28515625" style="180" customWidth="1"/>
    <col min="13882" max="13882" width="12.7109375" style="180" customWidth="1"/>
    <col min="13883" max="13883" width="11.28515625" style="180" customWidth="1"/>
    <col min="13884" max="13893" width="0" style="180" hidden="1" customWidth="1"/>
    <col min="13894" max="13898" width="13.5703125" style="180" customWidth="1"/>
    <col min="13899" max="13899" width="3.28515625" style="180" customWidth="1"/>
    <col min="13900" max="13900" width="0" style="180" hidden="1" customWidth="1"/>
    <col min="13901" max="13901" width="3.28515625" style="180" customWidth="1"/>
    <col min="13902" max="13902" width="9.85546875" style="180" bestFit="1" customWidth="1"/>
    <col min="13903" max="13903" width="9.5703125" style="180" bestFit="1" customWidth="1"/>
    <col min="13904" max="14080" width="9.140625" style="180"/>
    <col min="14081" max="14081" width="2.85546875" style="180" customWidth="1"/>
    <col min="14082" max="14082" width="3.28515625" style="180" customWidth="1"/>
    <col min="14083" max="14083" width="69.28515625" style="180" customWidth="1"/>
    <col min="14084" max="14084" width="6" style="180" customWidth="1"/>
    <col min="14085" max="14089" width="13.5703125" style="180" customWidth="1"/>
    <col min="14090" max="14134" width="0" style="180" hidden="1" customWidth="1"/>
    <col min="14135" max="14137" width="11.28515625" style="180" customWidth="1"/>
    <col min="14138" max="14138" width="12.7109375" style="180" customWidth="1"/>
    <col min="14139" max="14139" width="11.28515625" style="180" customWidth="1"/>
    <col min="14140" max="14149" width="0" style="180" hidden="1" customWidth="1"/>
    <col min="14150" max="14154" width="13.5703125" style="180" customWidth="1"/>
    <col min="14155" max="14155" width="3.28515625" style="180" customWidth="1"/>
    <col min="14156" max="14156" width="0" style="180" hidden="1" customWidth="1"/>
    <col min="14157" max="14157" width="3.28515625" style="180" customWidth="1"/>
    <col min="14158" max="14158" width="9.85546875" style="180" bestFit="1" customWidth="1"/>
    <col min="14159" max="14159" width="9.5703125" style="180" bestFit="1" customWidth="1"/>
    <col min="14160" max="14336" width="9.140625" style="180"/>
    <col min="14337" max="14337" width="2.85546875" style="180" customWidth="1"/>
    <col min="14338" max="14338" width="3.28515625" style="180" customWidth="1"/>
    <col min="14339" max="14339" width="69.28515625" style="180" customWidth="1"/>
    <col min="14340" max="14340" width="6" style="180" customWidth="1"/>
    <col min="14341" max="14345" width="13.5703125" style="180" customWidth="1"/>
    <col min="14346" max="14390" width="0" style="180" hidden="1" customWidth="1"/>
    <col min="14391" max="14393" width="11.28515625" style="180" customWidth="1"/>
    <col min="14394" max="14394" width="12.7109375" style="180" customWidth="1"/>
    <col min="14395" max="14395" width="11.28515625" style="180" customWidth="1"/>
    <col min="14396" max="14405" width="0" style="180" hidden="1" customWidth="1"/>
    <col min="14406" max="14410" width="13.5703125" style="180" customWidth="1"/>
    <col min="14411" max="14411" width="3.28515625" style="180" customWidth="1"/>
    <col min="14412" max="14412" width="0" style="180" hidden="1" customWidth="1"/>
    <col min="14413" max="14413" width="3.28515625" style="180" customWidth="1"/>
    <col min="14414" max="14414" width="9.85546875" style="180" bestFit="1" customWidth="1"/>
    <col min="14415" max="14415" width="9.5703125" style="180" bestFit="1" customWidth="1"/>
    <col min="14416" max="14592" width="9.140625" style="180"/>
    <col min="14593" max="14593" width="2.85546875" style="180" customWidth="1"/>
    <col min="14594" max="14594" width="3.28515625" style="180" customWidth="1"/>
    <col min="14595" max="14595" width="69.28515625" style="180" customWidth="1"/>
    <col min="14596" max="14596" width="6" style="180" customWidth="1"/>
    <col min="14597" max="14601" width="13.5703125" style="180" customWidth="1"/>
    <col min="14602" max="14646" width="0" style="180" hidden="1" customWidth="1"/>
    <col min="14647" max="14649" width="11.28515625" style="180" customWidth="1"/>
    <col min="14650" max="14650" width="12.7109375" style="180" customWidth="1"/>
    <col min="14651" max="14651" width="11.28515625" style="180" customWidth="1"/>
    <col min="14652" max="14661" width="0" style="180" hidden="1" customWidth="1"/>
    <col min="14662" max="14666" width="13.5703125" style="180" customWidth="1"/>
    <col min="14667" max="14667" width="3.28515625" style="180" customWidth="1"/>
    <col min="14668" max="14668" width="0" style="180" hidden="1" customWidth="1"/>
    <col min="14669" max="14669" width="3.28515625" style="180" customWidth="1"/>
    <col min="14670" max="14670" width="9.85546875" style="180" bestFit="1" customWidth="1"/>
    <col min="14671" max="14671" width="9.5703125" style="180" bestFit="1" customWidth="1"/>
    <col min="14672" max="14848" width="9.140625" style="180"/>
    <col min="14849" max="14849" width="2.85546875" style="180" customWidth="1"/>
    <col min="14850" max="14850" width="3.28515625" style="180" customWidth="1"/>
    <col min="14851" max="14851" width="69.28515625" style="180" customWidth="1"/>
    <col min="14852" max="14852" width="6" style="180" customWidth="1"/>
    <col min="14853" max="14857" width="13.5703125" style="180" customWidth="1"/>
    <col min="14858" max="14902" width="0" style="180" hidden="1" customWidth="1"/>
    <col min="14903" max="14905" width="11.28515625" style="180" customWidth="1"/>
    <col min="14906" max="14906" width="12.7109375" style="180" customWidth="1"/>
    <col min="14907" max="14907" width="11.28515625" style="180" customWidth="1"/>
    <col min="14908" max="14917" width="0" style="180" hidden="1" customWidth="1"/>
    <col min="14918" max="14922" width="13.5703125" style="180" customWidth="1"/>
    <col min="14923" max="14923" width="3.28515625" style="180" customWidth="1"/>
    <col min="14924" max="14924" width="0" style="180" hidden="1" customWidth="1"/>
    <col min="14925" max="14925" width="3.28515625" style="180" customWidth="1"/>
    <col min="14926" max="14926" width="9.85546875" style="180" bestFit="1" customWidth="1"/>
    <col min="14927" max="14927" width="9.5703125" style="180" bestFit="1" customWidth="1"/>
    <col min="14928" max="15104" width="9.140625" style="180"/>
    <col min="15105" max="15105" width="2.85546875" style="180" customWidth="1"/>
    <col min="15106" max="15106" width="3.28515625" style="180" customWidth="1"/>
    <col min="15107" max="15107" width="69.28515625" style="180" customWidth="1"/>
    <col min="15108" max="15108" width="6" style="180" customWidth="1"/>
    <col min="15109" max="15113" width="13.5703125" style="180" customWidth="1"/>
    <col min="15114" max="15158" width="0" style="180" hidden="1" customWidth="1"/>
    <col min="15159" max="15161" width="11.28515625" style="180" customWidth="1"/>
    <col min="15162" max="15162" width="12.7109375" style="180" customWidth="1"/>
    <col min="15163" max="15163" width="11.28515625" style="180" customWidth="1"/>
    <col min="15164" max="15173" width="0" style="180" hidden="1" customWidth="1"/>
    <col min="15174" max="15178" width="13.5703125" style="180" customWidth="1"/>
    <col min="15179" max="15179" width="3.28515625" style="180" customWidth="1"/>
    <col min="15180" max="15180" width="0" style="180" hidden="1" customWidth="1"/>
    <col min="15181" max="15181" width="3.28515625" style="180" customWidth="1"/>
    <col min="15182" max="15182" width="9.85546875" style="180" bestFit="1" customWidth="1"/>
    <col min="15183" max="15183" width="9.5703125" style="180" bestFit="1" customWidth="1"/>
    <col min="15184" max="15360" width="9.140625" style="180"/>
    <col min="15361" max="15361" width="2.85546875" style="180" customWidth="1"/>
    <col min="15362" max="15362" width="3.28515625" style="180" customWidth="1"/>
    <col min="15363" max="15363" width="69.28515625" style="180" customWidth="1"/>
    <col min="15364" max="15364" width="6" style="180" customWidth="1"/>
    <col min="15365" max="15369" width="13.5703125" style="180" customWidth="1"/>
    <col min="15370" max="15414" width="0" style="180" hidden="1" customWidth="1"/>
    <col min="15415" max="15417" width="11.28515625" style="180" customWidth="1"/>
    <col min="15418" max="15418" width="12.7109375" style="180" customWidth="1"/>
    <col min="15419" max="15419" width="11.28515625" style="180" customWidth="1"/>
    <col min="15420" max="15429" width="0" style="180" hidden="1" customWidth="1"/>
    <col min="15430" max="15434" width="13.5703125" style="180" customWidth="1"/>
    <col min="15435" max="15435" width="3.28515625" style="180" customWidth="1"/>
    <col min="15436" max="15436" width="0" style="180" hidden="1" customWidth="1"/>
    <col min="15437" max="15437" width="3.28515625" style="180" customWidth="1"/>
    <col min="15438" max="15438" width="9.85546875" style="180" bestFit="1" customWidth="1"/>
    <col min="15439" max="15439" width="9.5703125" style="180" bestFit="1" customWidth="1"/>
    <col min="15440" max="15616" width="9.140625" style="180"/>
    <col min="15617" max="15617" width="2.85546875" style="180" customWidth="1"/>
    <col min="15618" max="15618" width="3.28515625" style="180" customWidth="1"/>
    <col min="15619" max="15619" width="69.28515625" style="180" customWidth="1"/>
    <col min="15620" max="15620" width="6" style="180" customWidth="1"/>
    <col min="15621" max="15625" width="13.5703125" style="180" customWidth="1"/>
    <col min="15626" max="15670" width="0" style="180" hidden="1" customWidth="1"/>
    <col min="15671" max="15673" width="11.28515625" style="180" customWidth="1"/>
    <col min="15674" max="15674" width="12.7109375" style="180" customWidth="1"/>
    <col min="15675" max="15675" width="11.28515625" style="180" customWidth="1"/>
    <col min="15676" max="15685" width="0" style="180" hidden="1" customWidth="1"/>
    <col min="15686" max="15690" width="13.5703125" style="180" customWidth="1"/>
    <col min="15691" max="15691" width="3.28515625" style="180" customWidth="1"/>
    <col min="15692" max="15692" width="0" style="180" hidden="1" customWidth="1"/>
    <col min="15693" max="15693" width="3.28515625" style="180" customWidth="1"/>
    <col min="15694" max="15694" width="9.85546875" style="180" bestFit="1" customWidth="1"/>
    <col min="15695" max="15695" width="9.5703125" style="180" bestFit="1" customWidth="1"/>
    <col min="15696" max="15872" width="9.140625" style="180"/>
    <col min="15873" max="15873" width="2.85546875" style="180" customWidth="1"/>
    <col min="15874" max="15874" width="3.28515625" style="180" customWidth="1"/>
    <col min="15875" max="15875" width="69.28515625" style="180" customWidth="1"/>
    <col min="15876" max="15876" width="6" style="180" customWidth="1"/>
    <col min="15877" max="15881" width="13.5703125" style="180" customWidth="1"/>
    <col min="15882" max="15926" width="0" style="180" hidden="1" customWidth="1"/>
    <col min="15927" max="15929" width="11.28515625" style="180" customWidth="1"/>
    <col min="15930" max="15930" width="12.7109375" style="180" customWidth="1"/>
    <col min="15931" max="15931" width="11.28515625" style="180" customWidth="1"/>
    <col min="15932" max="15941" width="0" style="180" hidden="1" customWidth="1"/>
    <col min="15942" max="15946" width="13.5703125" style="180" customWidth="1"/>
    <col min="15947" max="15947" width="3.28515625" style="180" customWidth="1"/>
    <col min="15948" max="15948" width="0" style="180" hidden="1" customWidth="1"/>
    <col min="15949" max="15949" width="3.28515625" style="180" customWidth="1"/>
    <col min="15950" max="15950" width="9.85546875" style="180" bestFit="1" customWidth="1"/>
    <col min="15951" max="15951" width="9.5703125" style="180" bestFit="1" customWidth="1"/>
    <col min="15952" max="16128" width="9.140625" style="180"/>
    <col min="16129" max="16129" width="2.85546875" style="180" customWidth="1"/>
    <col min="16130" max="16130" width="3.28515625" style="180" customWidth="1"/>
    <col min="16131" max="16131" width="69.28515625" style="180" customWidth="1"/>
    <col min="16132" max="16132" width="6" style="180" customWidth="1"/>
    <col min="16133" max="16137" width="13.5703125" style="180" customWidth="1"/>
    <col min="16138" max="16182" width="0" style="180" hidden="1" customWidth="1"/>
    <col min="16183" max="16185" width="11.28515625" style="180" customWidth="1"/>
    <col min="16186" max="16186" width="12.7109375" style="180" customWidth="1"/>
    <col min="16187" max="16187" width="11.28515625" style="180" customWidth="1"/>
    <col min="16188" max="16197" width="0" style="180" hidden="1" customWidth="1"/>
    <col min="16198" max="16202" width="13.5703125" style="180" customWidth="1"/>
    <col min="16203" max="16203" width="3.28515625" style="180" customWidth="1"/>
    <col min="16204" max="16204" width="0" style="180" hidden="1" customWidth="1"/>
    <col min="16205" max="16205" width="3.28515625" style="180" customWidth="1"/>
    <col min="16206" max="16206" width="9.85546875" style="180" bestFit="1" customWidth="1"/>
    <col min="16207" max="16207" width="9.5703125" style="180" bestFit="1" customWidth="1"/>
    <col min="16208" max="16384" width="9.140625" style="180"/>
  </cols>
  <sheetData>
    <row r="1" spans="1:78" ht="15.75" x14ac:dyDescent="0.25">
      <c r="A1" s="185" t="s">
        <v>172</v>
      </c>
      <c r="B1" s="184"/>
      <c r="C1" s="183"/>
      <c r="D1" s="182"/>
      <c r="E1" s="181"/>
      <c r="F1" s="183"/>
      <c r="G1" s="183"/>
      <c r="H1" s="183"/>
      <c r="I1" s="183"/>
      <c r="J1" s="183"/>
      <c r="K1" s="183"/>
      <c r="L1" s="183"/>
      <c r="M1" s="183"/>
      <c r="N1" s="183"/>
      <c r="O1" s="183"/>
      <c r="P1" s="183"/>
      <c r="Q1" s="183"/>
      <c r="R1" s="183"/>
      <c r="S1" s="183"/>
      <c r="T1" s="183"/>
      <c r="U1" s="183"/>
      <c r="V1" s="183"/>
      <c r="W1" s="183"/>
      <c r="X1" s="183"/>
      <c r="Y1" s="183"/>
      <c r="Z1" s="183"/>
      <c r="AA1" s="183"/>
      <c r="AB1" s="183"/>
      <c r="AC1" s="183"/>
      <c r="AD1" s="183"/>
      <c r="AE1" s="183"/>
      <c r="AF1" s="183"/>
      <c r="AG1" s="183"/>
      <c r="AH1" s="183"/>
      <c r="AI1" s="183"/>
      <c r="AJ1" s="183"/>
      <c r="AK1" s="183"/>
      <c r="AL1" s="183"/>
      <c r="AM1" s="183"/>
      <c r="AN1" s="183"/>
      <c r="AO1" s="183"/>
      <c r="AP1" s="183"/>
      <c r="AQ1" s="183"/>
      <c r="AR1" s="183"/>
      <c r="AS1" s="183"/>
      <c r="AT1" s="183"/>
      <c r="AU1" s="183"/>
      <c r="AV1" s="183"/>
      <c r="AW1" s="183"/>
      <c r="AX1" s="183"/>
      <c r="AY1" s="183"/>
      <c r="AZ1" s="183"/>
      <c r="BA1" s="183"/>
      <c r="BB1" s="183"/>
      <c r="BC1" s="183"/>
      <c r="BD1" s="183"/>
      <c r="BE1" s="183"/>
      <c r="BF1" s="183"/>
      <c r="BG1" s="183"/>
      <c r="BH1" s="183"/>
      <c r="BI1" s="183"/>
      <c r="BJ1" s="183"/>
      <c r="BK1" s="183"/>
      <c r="BL1" s="183"/>
      <c r="BM1" s="183"/>
      <c r="BN1" s="183"/>
      <c r="BO1" s="183"/>
      <c r="BP1" s="183"/>
      <c r="BQ1" s="183"/>
      <c r="BR1" s="183"/>
      <c r="BS1" s="183"/>
      <c r="BT1" s="183"/>
      <c r="BU1" s="183"/>
      <c r="BV1" s="183"/>
    </row>
    <row r="2" spans="1:78" ht="15" x14ac:dyDescent="0.25">
      <c r="A2" s="177"/>
      <c r="B2" s="182"/>
      <c r="D2" s="176"/>
      <c r="E2" s="624" t="s">
        <v>2</v>
      </c>
      <c r="F2" s="625"/>
      <c r="G2" s="625"/>
      <c r="H2" s="625"/>
      <c r="I2" s="625"/>
      <c r="J2" s="625"/>
      <c r="K2" s="625"/>
      <c r="L2" s="625"/>
      <c r="M2" s="625"/>
      <c r="N2" s="625"/>
      <c r="O2" s="625"/>
      <c r="P2" s="625"/>
      <c r="Q2" s="625"/>
      <c r="R2" s="625"/>
      <c r="S2" s="625"/>
      <c r="T2" s="625"/>
      <c r="U2" s="625"/>
      <c r="V2" s="625"/>
      <c r="W2" s="625"/>
      <c r="X2" s="625"/>
      <c r="Y2" s="625"/>
      <c r="Z2" s="625"/>
      <c r="AA2" s="625"/>
      <c r="AB2" s="625"/>
      <c r="AC2" s="625"/>
      <c r="AD2" s="625"/>
      <c r="AE2" s="625"/>
      <c r="AF2" s="625"/>
      <c r="AG2" s="625"/>
      <c r="AH2" s="625"/>
      <c r="AI2" s="625"/>
      <c r="AJ2" s="625"/>
      <c r="AK2" s="625"/>
      <c r="AL2" s="625"/>
      <c r="AM2" s="625"/>
      <c r="AN2" s="625"/>
      <c r="AO2" s="625"/>
      <c r="AP2" s="625"/>
      <c r="AQ2" s="625"/>
      <c r="AR2" s="625"/>
      <c r="AS2" s="625"/>
      <c r="AT2" s="625"/>
      <c r="AU2" s="625"/>
      <c r="AV2" s="625"/>
      <c r="AW2" s="625"/>
      <c r="AX2" s="625"/>
      <c r="AY2" s="625"/>
      <c r="AZ2" s="625"/>
      <c r="BA2" s="625"/>
      <c r="BB2" s="625"/>
      <c r="BC2" s="625"/>
      <c r="BD2" s="625"/>
      <c r="BE2" s="625"/>
      <c r="BF2" s="625"/>
      <c r="BG2" s="625"/>
      <c r="BH2" s="625"/>
      <c r="BI2" s="625"/>
      <c r="BJ2" s="625"/>
      <c r="BK2" s="625"/>
      <c r="BL2" s="625"/>
      <c r="BM2" s="625"/>
      <c r="BN2" s="625"/>
      <c r="BO2" s="625"/>
      <c r="BP2" s="625"/>
      <c r="BQ2" s="625"/>
      <c r="BR2" s="625"/>
      <c r="BS2" s="625"/>
      <c r="BT2" s="625"/>
      <c r="BU2" s="625"/>
      <c r="BV2" s="626"/>
      <c r="BW2" s="175"/>
    </row>
    <row r="3" spans="1:78" ht="15" x14ac:dyDescent="0.25">
      <c r="A3" s="173"/>
      <c r="B3" s="182"/>
      <c r="C3" s="180" t="s">
        <v>173</v>
      </c>
      <c r="D3" s="172"/>
      <c r="E3" s="621" t="s">
        <v>256</v>
      </c>
      <c r="F3" s="622"/>
      <c r="G3" s="622"/>
      <c r="H3" s="622"/>
      <c r="I3" s="623"/>
      <c r="J3" s="621" t="s">
        <v>4</v>
      </c>
      <c r="K3" s="622"/>
      <c r="L3" s="622"/>
      <c r="M3" s="622"/>
      <c r="N3" s="623"/>
      <c r="O3" s="627" t="s">
        <v>5</v>
      </c>
      <c r="P3" s="622"/>
      <c r="Q3" s="622"/>
      <c r="R3" s="622"/>
      <c r="S3" s="623"/>
      <c r="T3" s="621" t="s">
        <v>6</v>
      </c>
      <c r="U3" s="622"/>
      <c r="V3" s="622"/>
      <c r="W3" s="622"/>
      <c r="X3" s="623"/>
      <c r="Y3" s="621" t="s">
        <v>7</v>
      </c>
      <c r="Z3" s="622"/>
      <c r="AA3" s="622"/>
      <c r="AB3" s="622"/>
      <c r="AC3" s="623"/>
      <c r="AD3" s="621" t="s">
        <v>8</v>
      </c>
      <c r="AE3" s="622"/>
      <c r="AF3" s="622"/>
      <c r="AG3" s="622"/>
      <c r="AH3" s="623"/>
      <c r="AI3" s="621" t="s">
        <v>9</v>
      </c>
      <c r="AJ3" s="622"/>
      <c r="AK3" s="622"/>
      <c r="AL3" s="622"/>
      <c r="AM3" s="623"/>
      <c r="AN3" s="621" t="s">
        <v>10</v>
      </c>
      <c r="AO3" s="622"/>
      <c r="AP3" s="622"/>
      <c r="AQ3" s="622"/>
      <c r="AR3" s="623"/>
      <c r="AS3" s="621" t="s">
        <v>11</v>
      </c>
      <c r="AT3" s="622"/>
      <c r="AU3" s="622"/>
      <c r="AV3" s="622"/>
      <c r="AW3" s="623"/>
      <c r="AX3" s="621" t="s">
        <v>12</v>
      </c>
      <c r="AY3" s="622"/>
      <c r="AZ3" s="622"/>
      <c r="BA3" s="622"/>
      <c r="BB3" s="623"/>
      <c r="BC3" s="621" t="s">
        <v>13</v>
      </c>
      <c r="BD3" s="622"/>
      <c r="BE3" s="622"/>
      <c r="BF3" s="622"/>
      <c r="BG3" s="623"/>
      <c r="BH3" s="621" t="s">
        <v>14</v>
      </c>
      <c r="BI3" s="622"/>
      <c r="BJ3" s="622"/>
      <c r="BK3" s="622"/>
      <c r="BL3" s="623"/>
      <c r="BM3" s="621" t="s">
        <v>15</v>
      </c>
      <c r="BN3" s="622"/>
      <c r="BO3" s="622"/>
      <c r="BP3" s="622"/>
      <c r="BQ3" s="623"/>
      <c r="BR3" s="621" t="s">
        <v>16</v>
      </c>
      <c r="BS3" s="622"/>
      <c r="BT3" s="622"/>
      <c r="BU3" s="622"/>
      <c r="BV3" s="628"/>
      <c r="BW3" s="171"/>
      <c r="BX3" s="171"/>
    </row>
    <row r="4" spans="1:78" x14ac:dyDescent="0.2">
      <c r="A4" s="173"/>
      <c r="B4" s="182"/>
      <c r="D4" s="172"/>
      <c r="E4" s="187" t="s">
        <v>175</v>
      </c>
      <c r="F4" s="188" t="s">
        <v>176</v>
      </c>
      <c r="G4" s="188" t="s">
        <v>177</v>
      </c>
      <c r="H4" s="188" t="s">
        <v>178</v>
      </c>
      <c r="I4" s="189" t="s">
        <v>179</v>
      </c>
      <c r="J4" s="187" t="s">
        <v>175</v>
      </c>
      <c r="K4" s="188" t="s">
        <v>176</v>
      </c>
      <c r="L4" s="188" t="s">
        <v>177</v>
      </c>
      <c r="M4" s="188" t="s">
        <v>178</v>
      </c>
      <c r="N4" s="190" t="s">
        <v>179</v>
      </c>
      <c r="O4" s="188" t="s">
        <v>175</v>
      </c>
      <c r="P4" s="188" t="s">
        <v>176</v>
      </c>
      <c r="Q4" s="188" t="s">
        <v>177</v>
      </c>
      <c r="R4" s="188" t="s">
        <v>178</v>
      </c>
      <c r="S4" s="190" t="s">
        <v>179</v>
      </c>
      <c r="T4" s="187" t="s">
        <v>175</v>
      </c>
      <c r="U4" s="188" t="s">
        <v>176</v>
      </c>
      <c r="V4" s="188" t="s">
        <v>177</v>
      </c>
      <c r="W4" s="188" t="s">
        <v>178</v>
      </c>
      <c r="X4" s="190" t="s">
        <v>179</v>
      </c>
      <c r="Y4" s="187" t="s">
        <v>175</v>
      </c>
      <c r="Z4" s="188" t="s">
        <v>176</v>
      </c>
      <c r="AA4" s="188" t="s">
        <v>177</v>
      </c>
      <c r="AB4" s="188" t="s">
        <v>178</v>
      </c>
      <c r="AC4" s="190" t="s">
        <v>179</v>
      </c>
      <c r="AD4" s="187" t="s">
        <v>175</v>
      </c>
      <c r="AE4" s="188" t="s">
        <v>176</v>
      </c>
      <c r="AF4" s="188" t="s">
        <v>177</v>
      </c>
      <c r="AG4" s="188" t="s">
        <v>178</v>
      </c>
      <c r="AH4" s="190" t="s">
        <v>179</v>
      </c>
      <c r="AI4" s="187" t="s">
        <v>175</v>
      </c>
      <c r="AJ4" s="188" t="s">
        <v>176</v>
      </c>
      <c r="AK4" s="188" t="s">
        <v>177</v>
      </c>
      <c r="AL4" s="188" t="s">
        <v>178</v>
      </c>
      <c r="AM4" s="190" t="s">
        <v>179</v>
      </c>
      <c r="AN4" s="187" t="s">
        <v>175</v>
      </c>
      <c r="AO4" s="188" t="s">
        <v>176</v>
      </c>
      <c r="AP4" s="188" t="s">
        <v>177</v>
      </c>
      <c r="AQ4" s="188" t="s">
        <v>178</v>
      </c>
      <c r="AR4" s="190" t="s">
        <v>179</v>
      </c>
      <c r="AS4" s="187" t="s">
        <v>175</v>
      </c>
      <c r="AT4" s="188" t="s">
        <v>176</v>
      </c>
      <c r="AU4" s="188" t="s">
        <v>177</v>
      </c>
      <c r="AV4" s="188" t="s">
        <v>178</v>
      </c>
      <c r="AW4" s="190" t="s">
        <v>179</v>
      </c>
      <c r="AX4" s="187" t="s">
        <v>175</v>
      </c>
      <c r="AY4" s="188" t="s">
        <v>176</v>
      </c>
      <c r="AZ4" s="188" t="s">
        <v>177</v>
      </c>
      <c r="BA4" s="188" t="s">
        <v>178</v>
      </c>
      <c r="BB4" s="190" t="s">
        <v>179</v>
      </c>
      <c r="BC4" s="187" t="s">
        <v>175</v>
      </c>
      <c r="BD4" s="188" t="s">
        <v>176</v>
      </c>
      <c r="BE4" s="188" t="s">
        <v>177</v>
      </c>
      <c r="BF4" s="188" t="s">
        <v>178</v>
      </c>
      <c r="BG4" s="190" t="s">
        <v>179</v>
      </c>
      <c r="BH4" s="187" t="s">
        <v>175</v>
      </c>
      <c r="BI4" s="188" t="s">
        <v>176</v>
      </c>
      <c r="BJ4" s="188" t="s">
        <v>177</v>
      </c>
      <c r="BK4" s="188" t="s">
        <v>180</v>
      </c>
      <c r="BL4" s="190" t="s">
        <v>179</v>
      </c>
      <c r="BM4" s="187" t="s">
        <v>175</v>
      </c>
      <c r="BN4" s="188" t="s">
        <v>176</v>
      </c>
      <c r="BO4" s="188" t="s">
        <v>177</v>
      </c>
      <c r="BP4" s="188" t="s">
        <v>178</v>
      </c>
      <c r="BQ4" s="190" t="s">
        <v>179</v>
      </c>
      <c r="BR4" s="187" t="s">
        <v>175</v>
      </c>
      <c r="BS4" s="188" t="s">
        <v>176</v>
      </c>
      <c r="BT4" s="188" t="s">
        <v>177</v>
      </c>
      <c r="BU4" s="188" t="s">
        <v>178</v>
      </c>
      <c r="BV4" s="191" t="s">
        <v>179</v>
      </c>
      <c r="BW4" s="175"/>
      <c r="BX4" s="171"/>
    </row>
    <row r="5" spans="1:78" x14ac:dyDescent="0.2">
      <c r="A5" s="192" t="s">
        <v>17</v>
      </c>
      <c r="B5" s="193"/>
      <c r="C5" s="193"/>
      <c r="D5" s="194"/>
      <c r="E5" s="195" t="s">
        <v>181</v>
      </c>
      <c r="F5" s="196" t="s">
        <v>182</v>
      </c>
      <c r="G5" s="196" t="s">
        <v>183</v>
      </c>
      <c r="H5" s="196" t="s">
        <v>184</v>
      </c>
      <c r="I5" s="197"/>
      <c r="J5" s="195" t="s">
        <v>181</v>
      </c>
      <c r="K5" s="196" t="s">
        <v>182</v>
      </c>
      <c r="L5" s="196" t="s">
        <v>183</v>
      </c>
      <c r="M5" s="196" t="s">
        <v>184</v>
      </c>
      <c r="N5" s="197"/>
      <c r="O5" s="196" t="s">
        <v>181</v>
      </c>
      <c r="P5" s="196" t="s">
        <v>182</v>
      </c>
      <c r="Q5" s="196" t="s">
        <v>183</v>
      </c>
      <c r="R5" s="196" t="s">
        <v>184</v>
      </c>
      <c r="S5" s="197"/>
      <c r="T5" s="195" t="s">
        <v>181</v>
      </c>
      <c r="U5" s="196" t="s">
        <v>182</v>
      </c>
      <c r="V5" s="196" t="s">
        <v>183</v>
      </c>
      <c r="W5" s="196" t="s">
        <v>184</v>
      </c>
      <c r="X5" s="197"/>
      <c r="Y5" s="195" t="s">
        <v>181</v>
      </c>
      <c r="Z5" s="196" t="s">
        <v>182</v>
      </c>
      <c r="AA5" s="196" t="s">
        <v>183</v>
      </c>
      <c r="AB5" s="196" t="s">
        <v>184</v>
      </c>
      <c r="AC5" s="197"/>
      <c r="AD5" s="195" t="s">
        <v>181</v>
      </c>
      <c r="AE5" s="196" t="s">
        <v>182</v>
      </c>
      <c r="AF5" s="196" t="s">
        <v>183</v>
      </c>
      <c r="AG5" s="196" t="s">
        <v>184</v>
      </c>
      <c r="AH5" s="197"/>
      <c r="AI5" s="195" t="s">
        <v>181</v>
      </c>
      <c r="AJ5" s="196" t="s">
        <v>182</v>
      </c>
      <c r="AK5" s="196" t="s">
        <v>183</v>
      </c>
      <c r="AL5" s="196" t="s">
        <v>184</v>
      </c>
      <c r="AM5" s="197"/>
      <c r="AN5" s="195" t="s">
        <v>181</v>
      </c>
      <c r="AO5" s="196" t="s">
        <v>182</v>
      </c>
      <c r="AP5" s="196" t="s">
        <v>183</v>
      </c>
      <c r="AQ5" s="196" t="s">
        <v>184</v>
      </c>
      <c r="AR5" s="197"/>
      <c r="AS5" s="195" t="s">
        <v>181</v>
      </c>
      <c r="AT5" s="196" t="s">
        <v>182</v>
      </c>
      <c r="AU5" s="196" t="s">
        <v>183</v>
      </c>
      <c r="AV5" s="196" t="s">
        <v>184</v>
      </c>
      <c r="AW5" s="197"/>
      <c r="AX5" s="195" t="s">
        <v>181</v>
      </c>
      <c r="AY5" s="196" t="s">
        <v>182</v>
      </c>
      <c r="AZ5" s="196" t="s">
        <v>183</v>
      </c>
      <c r="BA5" s="196" t="s">
        <v>184</v>
      </c>
      <c r="BB5" s="197"/>
      <c r="BC5" s="195" t="s">
        <v>181</v>
      </c>
      <c r="BD5" s="196" t="s">
        <v>182</v>
      </c>
      <c r="BE5" s="196" t="s">
        <v>183</v>
      </c>
      <c r="BF5" s="196" t="s">
        <v>184</v>
      </c>
      <c r="BG5" s="197"/>
      <c r="BH5" s="195" t="s">
        <v>181</v>
      </c>
      <c r="BI5" s="196" t="s">
        <v>182</v>
      </c>
      <c r="BJ5" s="196" t="s">
        <v>183</v>
      </c>
      <c r="BK5" s="196" t="s">
        <v>184</v>
      </c>
      <c r="BL5" s="197"/>
      <c r="BM5" s="195" t="s">
        <v>181</v>
      </c>
      <c r="BN5" s="196" t="s">
        <v>182</v>
      </c>
      <c r="BO5" s="196" t="s">
        <v>183</v>
      </c>
      <c r="BP5" s="196" t="s">
        <v>184</v>
      </c>
      <c r="BQ5" s="197"/>
      <c r="BR5" s="195" t="s">
        <v>181</v>
      </c>
      <c r="BS5" s="196" t="s">
        <v>182</v>
      </c>
      <c r="BT5" s="196" t="s">
        <v>183</v>
      </c>
      <c r="BU5" s="196" t="s">
        <v>184</v>
      </c>
      <c r="BV5" s="195"/>
      <c r="BW5" s="175"/>
      <c r="BX5" s="267"/>
    </row>
    <row r="6" spans="1:78" x14ac:dyDescent="0.2">
      <c r="A6" s="199"/>
      <c r="B6" s="182"/>
      <c r="D6" s="188"/>
      <c r="E6" s="200"/>
      <c r="F6" s="188"/>
      <c r="G6" s="188"/>
      <c r="H6" s="188"/>
      <c r="I6" s="201"/>
      <c r="J6" s="187"/>
      <c r="K6" s="188"/>
      <c r="L6" s="188"/>
      <c r="M6" s="188"/>
      <c r="N6" s="201"/>
      <c r="O6" s="188"/>
      <c r="P6" s="188"/>
      <c r="Q6" s="188"/>
      <c r="R6" s="188"/>
      <c r="S6" s="201"/>
      <c r="T6" s="187"/>
      <c r="U6" s="188"/>
      <c r="V6" s="188"/>
      <c r="W6" s="188"/>
      <c r="X6" s="201"/>
      <c r="Y6" s="187"/>
      <c r="Z6" s="188"/>
      <c r="AA6" s="188"/>
      <c r="AB6" s="188"/>
      <c r="AC6" s="201"/>
      <c r="AD6" s="187"/>
      <c r="AE6" s="188"/>
      <c r="AF6" s="188"/>
      <c r="AG6" s="188"/>
      <c r="AH6" s="201"/>
      <c r="AI6" s="187"/>
      <c r="AJ6" s="188"/>
      <c r="AK6" s="188"/>
      <c r="AL6" s="188"/>
      <c r="AM6" s="201"/>
      <c r="AN6" s="187"/>
      <c r="AO6" s="188"/>
      <c r="AP6" s="188"/>
      <c r="AQ6" s="188"/>
      <c r="AR6" s="201"/>
      <c r="AS6" s="187"/>
      <c r="AT6" s="188"/>
      <c r="AU6" s="188"/>
      <c r="AV6" s="188"/>
      <c r="AW6" s="201"/>
      <c r="AX6" s="187"/>
      <c r="AY6" s="188"/>
      <c r="AZ6" s="188"/>
      <c r="BA6" s="188"/>
      <c r="BB6" s="201"/>
      <c r="BC6" s="187"/>
      <c r="BD6" s="188"/>
      <c r="BE6" s="188"/>
      <c r="BF6" s="188"/>
      <c r="BG6" s="201"/>
      <c r="BH6" s="187"/>
      <c r="BI6" s="188"/>
      <c r="BJ6" s="188"/>
      <c r="BK6" s="188"/>
      <c r="BL6" s="201"/>
      <c r="BM6" s="187"/>
      <c r="BN6" s="188"/>
      <c r="BO6" s="188"/>
      <c r="BP6" s="188"/>
      <c r="BQ6" s="201"/>
      <c r="BR6" s="187"/>
      <c r="BS6" s="188"/>
      <c r="BT6" s="188"/>
      <c r="BU6" s="188"/>
      <c r="BV6" s="187"/>
      <c r="BW6" s="175"/>
      <c r="BX6" s="171"/>
    </row>
    <row r="7" spans="1:78" ht="13.5" customHeight="1" x14ac:dyDescent="0.2">
      <c r="A7" s="202">
        <v>1</v>
      </c>
      <c r="B7" s="203" t="s">
        <v>185</v>
      </c>
      <c r="D7" s="204"/>
      <c r="E7" s="268">
        <f>617480-5708</f>
        <v>611772</v>
      </c>
      <c r="F7" s="269">
        <v>1543</v>
      </c>
      <c r="G7" s="269">
        <v>16981</v>
      </c>
      <c r="H7" s="269">
        <v>1145</v>
      </c>
      <c r="I7" s="39">
        <f t="shared" ref="I7:I46" si="0">SUM(E7:H7)</f>
        <v>631441</v>
      </c>
      <c r="J7" s="41">
        <v>39235</v>
      </c>
      <c r="K7" s="43">
        <v>51</v>
      </c>
      <c r="L7" s="43">
        <v>135</v>
      </c>
      <c r="M7" s="43">
        <v>0</v>
      </c>
      <c r="N7" s="39">
        <f>SUM(J7:M7)</f>
        <v>39421</v>
      </c>
      <c r="O7" s="43">
        <v>37059</v>
      </c>
      <c r="P7" s="43">
        <v>148</v>
      </c>
      <c r="Q7" s="43">
        <v>133</v>
      </c>
      <c r="R7" s="43">
        <v>0</v>
      </c>
      <c r="S7" s="39">
        <f>SUM(O7:R7)</f>
        <v>37340</v>
      </c>
      <c r="T7" s="41">
        <v>38132</v>
      </c>
      <c r="U7" s="43">
        <v>318</v>
      </c>
      <c r="V7" s="43">
        <v>690</v>
      </c>
      <c r="W7" s="43">
        <v>0</v>
      </c>
      <c r="X7" s="39">
        <f>SUM(T7:W7)</f>
        <v>39140</v>
      </c>
      <c r="Y7" s="41">
        <v>35672</v>
      </c>
      <c r="Z7" s="43">
        <v>341</v>
      </c>
      <c r="AA7" s="43">
        <v>1924</v>
      </c>
      <c r="AB7" s="43">
        <v>0</v>
      </c>
      <c r="AC7" s="39">
        <f>SUM(Y7:AB7)</f>
        <v>37937</v>
      </c>
      <c r="AD7" s="41">
        <v>44418</v>
      </c>
      <c r="AE7" s="43">
        <v>126</v>
      </c>
      <c r="AF7" s="43">
        <v>1489</v>
      </c>
      <c r="AG7" s="43">
        <v>0</v>
      </c>
      <c r="AH7" s="39">
        <f>SUM(AD7:AG7)</f>
        <v>46033</v>
      </c>
      <c r="AI7" s="41">
        <v>60287</v>
      </c>
      <c r="AJ7" s="43">
        <v>107</v>
      </c>
      <c r="AK7" s="43">
        <v>3971</v>
      </c>
      <c r="AL7" s="43">
        <v>0</v>
      </c>
      <c r="AM7" s="39">
        <f>SUM(AI7:AL7)</f>
        <v>64365</v>
      </c>
      <c r="AN7" s="41">
        <v>91897</v>
      </c>
      <c r="AO7" s="43">
        <v>216</v>
      </c>
      <c r="AP7" s="43">
        <v>296</v>
      </c>
      <c r="AQ7" s="43">
        <v>0</v>
      </c>
      <c r="AR7" s="39">
        <f t="shared" ref="AR7:AR45" si="1">SUM(AN7:AQ7)</f>
        <v>92409</v>
      </c>
      <c r="AS7" s="41">
        <v>43887</v>
      </c>
      <c r="AT7" s="43">
        <v>44</v>
      </c>
      <c r="AU7" s="43">
        <v>1334</v>
      </c>
      <c r="AV7" s="43">
        <v>0</v>
      </c>
      <c r="AW7" s="39">
        <f>SUM(AS7:AV7)</f>
        <v>45265</v>
      </c>
      <c r="AX7" s="41">
        <v>53036</v>
      </c>
      <c r="AY7" s="43">
        <v>54</v>
      </c>
      <c r="AZ7" s="43">
        <v>2822</v>
      </c>
      <c r="BA7" s="43">
        <v>0</v>
      </c>
      <c r="BB7" s="39">
        <f>SUM(AX7:BA7)</f>
        <v>55912</v>
      </c>
      <c r="BC7" s="41">
        <f>42890+7</f>
        <v>42897</v>
      </c>
      <c r="BD7" s="43">
        <v>48</v>
      </c>
      <c r="BE7" s="43">
        <v>1005</v>
      </c>
      <c r="BF7" s="43">
        <v>0</v>
      </c>
      <c r="BG7" s="39">
        <f>SUM(BC7:BF7)</f>
        <v>43950</v>
      </c>
      <c r="BH7" s="41">
        <v>0</v>
      </c>
      <c r="BI7" s="43">
        <v>0</v>
      </c>
      <c r="BJ7" s="43">
        <v>0</v>
      </c>
      <c r="BK7" s="43">
        <v>0</v>
      </c>
      <c r="BL7" s="39">
        <f>SUM(BH7:BK7)</f>
        <v>0</v>
      </c>
      <c r="BM7" s="41">
        <v>0</v>
      </c>
      <c r="BN7" s="43">
        <v>0</v>
      </c>
      <c r="BO7" s="43">
        <v>0</v>
      </c>
      <c r="BP7" s="43">
        <v>0</v>
      </c>
      <c r="BQ7" s="39">
        <f>SUM(BM7:BP7)</f>
        <v>0</v>
      </c>
      <c r="BR7" s="41">
        <f>+J7+O7+T7+Y7+AD7+AI7+AN7+AS7+AX7+BC7+BH7+BM7</f>
        <v>486520</v>
      </c>
      <c r="BS7" s="269">
        <f>+K7+P7+U7+Z7+AE7+AJ7+AO7+AT7+AY7+BD7+BI7+BN7</f>
        <v>1453</v>
      </c>
      <c r="BT7" s="43">
        <f>+L7+Q7+V7+AA7+AF7+AK7+AP7+AU7+AZ7+BE7+BJ7+BO7</f>
        <v>13799</v>
      </c>
      <c r="BU7" s="43">
        <f>+M7+R7+W7+AB7+AG7+AL7+AQ7+AV7+BA7+BF7+BK7+BP7</f>
        <v>0</v>
      </c>
      <c r="BV7" s="41">
        <f t="shared" ref="BV7:BV46" si="2">SUM(BR7:BU7)</f>
        <v>501772</v>
      </c>
      <c r="BW7" s="270"/>
      <c r="BX7" s="208"/>
    </row>
    <row r="8" spans="1:78" x14ac:dyDescent="0.2">
      <c r="A8" s="202">
        <v>2</v>
      </c>
      <c r="B8" s="203" t="s">
        <v>186</v>
      </c>
      <c r="D8" s="207" t="s">
        <v>57</v>
      </c>
      <c r="E8" s="268">
        <v>1518513</v>
      </c>
      <c r="F8" s="269">
        <v>464247</v>
      </c>
      <c r="G8" s="269">
        <v>10700</v>
      </c>
      <c r="H8" s="269">
        <v>0</v>
      </c>
      <c r="I8" s="39">
        <f t="shared" si="0"/>
        <v>1993460</v>
      </c>
      <c r="J8" s="41">
        <v>127270</v>
      </c>
      <c r="K8" s="43">
        <v>115828</v>
      </c>
      <c r="L8" s="43">
        <v>0</v>
      </c>
      <c r="M8" s="43">
        <v>0</v>
      </c>
      <c r="N8" s="39">
        <f>SUM(J8:M8)</f>
        <v>243098</v>
      </c>
      <c r="O8" s="43">
        <v>121796</v>
      </c>
      <c r="P8" s="43">
        <v>0</v>
      </c>
      <c r="Q8" s="43">
        <v>935</v>
      </c>
      <c r="R8" s="43">
        <v>0</v>
      </c>
      <c r="S8" s="39">
        <f t="shared" ref="S8:S15" si="3">SUM(O8:R8)</f>
        <v>122731</v>
      </c>
      <c r="T8" s="41">
        <v>126124</v>
      </c>
      <c r="U8" s="43">
        <v>0</v>
      </c>
      <c r="V8" s="43">
        <v>935</v>
      </c>
      <c r="W8" s="43">
        <v>0</v>
      </c>
      <c r="X8" s="39">
        <f t="shared" ref="X8:X46" si="4">SUM(T8:W8)</f>
        <v>127059</v>
      </c>
      <c r="Y8" s="41">
        <v>129617</v>
      </c>
      <c r="Z8" s="43">
        <v>115828</v>
      </c>
      <c r="AA8" s="43">
        <v>935</v>
      </c>
      <c r="AB8" s="43">
        <v>0</v>
      </c>
      <c r="AC8" s="39">
        <f t="shared" ref="AC8:AC46" si="5">SUM(Y8:AB8)</f>
        <v>246380</v>
      </c>
      <c r="AD8" s="41">
        <v>128066</v>
      </c>
      <c r="AE8" s="43">
        <v>0</v>
      </c>
      <c r="AF8" s="43">
        <v>935</v>
      </c>
      <c r="AG8" s="43">
        <v>0</v>
      </c>
      <c r="AH8" s="39">
        <f t="shared" ref="AH8:AH46" si="6">SUM(AD8:AG8)</f>
        <v>129001</v>
      </c>
      <c r="AI8" s="41">
        <v>124983</v>
      </c>
      <c r="AJ8" s="43">
        <v>935</v>
      </c>
      <c r="AK8" s="43">
        <v>0</v>
      </c>
      <c r="AL8" s="43">
        <v>0</v>
      </c>
      <c r="AM8" s="39">
        <f t="shared" ref="AM8:AM46" si="7">SUM(AI8:AL8)</f>
        <v>125918</v>
      </c>
      <c r="AN8" s="41">
        <v>124674</v>
      </c>
      <c r="AO8" s="43">
        <v>115828</v>
      </c>
      <c r="AP8" s="43">
        <v>935</v>
      </c>
      <c r="AQ8" s="43">
        <v>0</v>
      </c>
      <c r="AR8" s="39">
        <f t="shared" si="1"/>
        <v>241437</v>
      </c>
      <c r="AS8" s="41">
        <v>129232</v>
      </c>
      <c r="AT8" s="43">
        <v>0</v>
      </c>
      <c r="AU8" s="43">
        <v>935</v>
      </c>
      <c r="AV8" s="43">
        <v>0</v>
      </c>
      <c r="AW8" s="39">
        <f t="shared" ref="AW8:AW46" si="8">SUM(AS8:AV8)</f>
        <v>130167</v>
      </c>
      <c r="AX8" s="41">
        <v>123713</v>
      </c>
      <c r="AY8" s="43">
        <v>0</v>
      </c>
      <c r="AZ8" s="43">
        <v>935</v>
      </c>
      <c r="BA8" s="43">
        <v>0</v>
      </c>
      <c r="BB8" s="39">
        <f t="shared" ref="BB8:BB46" si="9">SUM(AX8:BA8)</f>
        <v>124648</v>
      </c>
      <c r="BC8" s="41">
        <v>124532</v>
      </c>
      <c r="BD8" s="43">
        <v>115828</v>
      </c>
      <c r="BE8" s="43">
        <v>1094</v>
      </c>
      <c r="BF8" s="43">
        <v>0</v>
      </c>
      <c r="BG8" s="39">
        <f t="shared" ref="BG8:BG46" si="10">SUM(BC8:BF8)</f>
        <v>241454</v>
      </c>
      <c r="BH8" s="41">
        <v>0</v>
      </c>
      <c r="BI8" s="43">
        <v>0</v>
      </c>
      <c r="BJ8" s="43">
        <v>0</v>
      </c>
      <c r="BK8" s="43">
        <v>0</v>
      </c>
      <c r="BL8" s="39">
        <f t="shared" ref="BL8:BL46" si="11">SUM(BH8:BK8)</f>
        <v>0</v>
      </c>
      <c r="BM8" s="41">
        <v>0</v>
      </c>
      <c r="BN8" s="43">
        <v>0</v>
      </c>
      <c r="BO8" s="43">
        <v>0</v>
      </c>
      <c r="BP8" s="43">
        <v>0</v>
      </c>
      <c r="BQ8" s="39">
        <f t="shared" ref="BQ8:BQ46" si="12">SUM(BM8:BP8)</f>
        <v>0</v>
      </c>
      <c r="BR8" s="41">
        <f>+J8+O8+T8+Y8+AD8+AI8+AN8+AS8+AX8+BC8+BH8+BM8</f>
        <v>1260007</v>
      </c>
      <c r="BS8" s="269">
        <f t="shared" ref="BS8:BU23" si="13">+K8+P8+U8+Z8+AE8+AJ8+AO8+AT8+AY8+BD8+BI8+BN8</f>
        <v>464247</v>
      </c>
      <c r="BT8" s="43">
        <f t="shared" si="13"/>
        <v>7639</v>
      </c>
      <c r="BU8" s="43">
        <f>+M8+R8+W8+AB8+AG8+AL8+AQ8+AV8+BA8+BF8+BK8+BP8</f>
        <v>0</v>
      </c>
      <c r="BV8" s="41">
        <f t="shared" si="2"/>
        <v>1731893</v>
      </c>
      <c r="BW8" s="9"/>
      <c r="BX8" s="208"/>
    </row>
    <row r="9" spans="1:78" x14ac:dyDescent="0.2">
      <c r="A9" s="202">
        <v>3</v>
      </c>
      <c r="B9" s="203" t="s">
        <v>257</v>
      </c>
      <c r="D9" s="207"/>
      <c r="E9" s="268">
        <v>95848</v>
      </c>
      <c r="F9" s="269">
        <v>1430238</v>
      </c>
      <c r="G9" s="269">
        <v>5480</v>
      </c>
      <c r="H9" s="269">
        <v>3200071</v>
      </c>
      <c r="I9" s="39">
        <f t="shared" si="0"/>
        <v>4731637</v>
      </c>
      <c r="J9" s="41">
        <v>5829</v>
      </c>
      <c r="K9" s="43">
        <v>32386</v>
      </c>
      <c r="L9" s="43">
        <v>0</v>
      </c>
      <c r="M9" s="43">
        <v>0</v>
      </c>
      <c r="N9" s="39">
        <f t="shared" ref="N9:N46" si="14">SUM(J9:M9)</f>
        <v>38215</v>
      </c>
      <c r="O9" s="43">
        <v>9685</v>
      </c>
      <c r="P9" s="43">
        <v>247376</v>
      </c>
      <c r="Q9" s="43">
        <v>44</v>
      </c>
      <c r="R9" s="43">
        <v>21</v>
      </c>
      <c r="S9" s="39">
        <f t="shared" si="3"/>
        <v>257126</v>
      </c>
      <c r="T9" s="41">
        <v>7317</v>
      </c>
      <c r="U9" s="43">
        <v>42383</v>
      </c>
      <c r="V9" s="43">
        <v>0</v>
      </c>
      <c r="W9" s="43">
        <v>1</v>
      </c>
      <c r="X9" s="39">
        <f t="shared" si="4"/>
        <v>49701</v>
      </c>
      <c r="Y9" s="41">
        <v>8157</v>
      </c>
      <c r="Z9" s="43">
        <v>201914</v>
      </c>
      <c r="AA9" s="43">
        <v>48</v>
      </c>
      <c r="AB9" s="43">
        <v>17</v>
      </c>
      <c r="AC9" s="39">
        <f t="shared" si="5"/>
        <v>210136</v>
      </c>
      <c r="AD9" s="41">
        <v>10956</v>
      </c>
      <c r="AE9" s="43">
        <v>85878</v>
      </c>
      <c r="AF9" s="43">
        <v>115</v>
      </c>
      <c r="AG9" s="43">
        <v>0</v>
      </c>
      <c r="AH9" s="39">
        <f t="shared" si="6"/>
        <v>96949</v>
      </c>
      <c r="AI9" s="41">
        <v>7220</v>
      </c>
      <c r="AJ9" s="43">
        <v>38078</v>
      </c>
      <c r="AK9" s="43">
        <v>196</v>
      </c>
      <c r="AL9" s="43">
        <v>0</v>
      </c>
      <c r="AM9" s="39">
        <f t="shared" si="7"/>
        <v>45494</v>
      </c>
      <c r="AN9" s="41">
        <v>6835</v>
      </c>
      <c r="AO9" s="43">
        <v>268468</v>
      </c>
      <c r="AP9" s="43">
        <v>38</v>
      </c>
      <c r="AQ9" s="43">
        <v>0</v>
      </c>
      <c r="AR9" s="39">
        <f t="shared" si="1"/>
        <v>275341</v>
      </c>
      <c r="AS9" s="41">
        <v>6401</v>
      </c>
      <c r="AT9" s="43">
        <v>94708</v>
      </c>
      <c r="AU9" s="43">
        <v>69</v>
      </c>
      <c r="AV9" s="43">
        <v>0</v>
      </c>
      <c r="AW9" s="39">
        <f t="shared" si="8"/>
        <v>101178</v>
      </c>
      <c r="AX9" s="41">
        <v>6713</v>
      </c>
      <c r="AY9" s="43">
        <v>58298</v>
      </c>
      <c r="AZ9" s="43">
        <v>316</v>
      </c>
      <c r="BA9" s="43">
        <v>0</v>
      </c>
      <c r="BB9" s="39">
        <f t="shared" si="9"/>
        <v>65327</v>
      </c>
      <c r="BC9" s="41">
        <v>7380</v>
      </c>
      <c r="BD9" s="43">
        <v>169487</v>
      </c>
      <c r="BE9" s="43">
        <v>0</v>
      </c>
      <c r="BF9" s="43">
        <f>13+2100000</f>
        <v>2100013</v>
      </c>
      <c r="BG9" s="39">
        <f t="shared" si="10"/>
        <v>2276880</v>
      </c>
      <c r="BH9" s="41">
        <v>0</v>
      </c>
      <c r="BI9" s="43">
        <v>0</v>
      </c>
      <c r="BJ9" s="43">
        <v>0</v>
      </c>
      <c r="BK9" s="43">
        <v>0</v>
      </c>
      <c r="BL9" s="39">
        <f t="shared" si="11"/>
        <v>0</v>
      </c>
      <c r="BM9" s="41">
        <v>0</v>
      </c>
      <c r="BN9" s="43">
        <v>0</v>
      </c>
      <c r="BO9" s="43">
        <v>0</v>
      </c>
      <c r="BP9" s="43">
        <v>0</v>
      </c>
      <c r="BQ9" s="39">
        <f t="shared" si="12"/>
        <v>0</v>
      </c>
      <c r="BR9" s="41">
        <f>+J9+O9+T9+Y9+AD9+AI9+AN9+AS9+AX9+BC9+BH9+BM9</f>
        <v>76493</v>
      </c>
      <c r="BS9" s="269">
        <f t="shared" si="13"/>
        <v>1238976</v>
      </c>
      <c r="BT9" s="43">
        <f>+L9+Q9+V9+AA9+AF9+AK9+AP9+AU9+AZ9+BE9+BJ9+BO9</f>
        <v>826</v>
      </c>
      <c r="BU9" s="43">
        <f>+M9+R9+W9+AB9+AG9+AL9+AQ9+AV9+BA9+BF9+BK9+BP9</f>
        <v>2100052</v>
      </c>
      <c r="BV9" s="41">
        <f t="shared" si="2"/>
        <v>3416347</v>
      </c>
      <c r="BW9" s="9"/>
      <c r="BX9" s="208"/>
    </row>
    <row r="10" spans="1:78" x14ac:dyDescent="0.2">
      <c r="A10" s="202">
        <v>4</v>
      </c>
      <c r="B10" s="203" t="s">
        <v>258</v>
      </c>
      <c r="D10" s="207"/>
      <c r="E10" s="268">
        <v>4358707</v>
      </c>
      <c r="F10" s="269">
        <v>82521206</v>
      </c>
      <c r="G10" s="269">
        <v>70301</v>
      </c>
      <c r="H10" s="269">
        <v>135</v>
      </c>
      <c r="I10" s="39">
        <f t="shared" si="0"/>
        <v>86950349</v>
      </c>
      <c r="J10" s="41">
        <v>269058</v>
      </c>
      <c r="K10" s="43">
        <v>40647</v>
      </c>
      <c r="L10" s="43">
        <v>28</v>
      </c>
      <c r="M10" s="43">
        <v>0</v>
      </c>
      <c r="N10" s="39">
        <f t="shared" si="14"/>
        <v>309733</v>
      </c>
      <c r="O10" s="43">
        <v>269745</v>
      </c>
      <c r="P10" s="43">
        <v>85996</v>
      </c>
      <c r="Q10" s="43">
        <v>1365</v>
      </c>
      <c r="R10" s="43">
        <v>0</v>
      </c>
      <c r="S10" s="39">
        <f t="shared" si="3"/>
        <v>357106</v>
      </c>
      <c r="T10" s="41">
        <v>263603</v>
      </c>
      <c r="U10" s="43">
        <v>1</v>
      </c>
      <c r="V10" s="43">
        <v>55</v>
      </c>
      <c r="W10" s="43">
        <v>0</v>
      </c>
      <c r="X10" s="39">
        <f t="shared" si="4"/>
        <v>263659</v>
      </c>
      <c r="Y10" s="41">
        <v>281974</v>
      </c>
      <c r="Z10" s="43">
        <v>32341361</v>
      </c>
      <c r="AA10" s="43">
        <v>351</v>
      </c>
      <c r="AB10" s="43">
        <v>0</v>
      </c>
      <c r="AC10" s="39">
        <f t="shared" si="5"/>
        <v>32623686</v>
      </c>
      <c r="AD10" s="41">
        <v>305389</v>
      </c>
      <c r="AE10" s="43">
        <v>1169916</v>
      </c>
      <c r="AF10" s="43">
        <v>3431</v>
      </c>
      <c r="AG10" s="43">
        <v>0</v>
      </c>
      <c r="AH10" s="39">
        <f t="shared" si="6"/>
        <v>1478736</v>
      </c>
      <c r="AI10" s="41">
        <v>287627</v>
      </c>
      <c r="AJ10" s="43">
        <v>54809</v>
      </c>
      <c r="AK10" s="43">
        <v>8318</v>
      </c>
      <c r="AL10" s="43">
        <v>0</v>
      </c>
      <c r="AM10" s="39">
        <f t="shared" si="7"/>
        <v>350754</v>
      </c>
      <c r="AN10" s="41">
        <v>281692</v>
      </c>
      <c r="AO10" s="43">
        <v>402062</v>
      </c>
      <c r="AP10" s="43">
        <v>729</v>
      </c>
      <c r="AQ10" s="43">
        <v>0</v>
      </c>
      <c r="AR10" s="39">
        <f t="shared" si="1"/>
        <v>684483</v>
      </c>
      <c r="AS10" s="41">
        <v>418158</v>
      </c>
      <c r="AT10" s="43">
        <v>418626</v>
      </c>
      <c r="AU10" s="43">
        <v>4968</v>
      </c>
      <c r="AV10" s="43">
        <v>0</v>
      </c>
      <c r="AW10" s="39">
        <f t="shared" si="8"/>
        <v>841752</v>
      </c>
      <c r="AX10" s="41">
        <v>486423</v>
      </c>
      <c r="AY10" s="43">
        <v>22729096</v>
      </c>
      <c r="AZ10" s="43">
        <v>9640</v>
      </c>
      <c r="BA10" s="43">
        <v>0</v>
      </c>
      <c r="BB10" s="39">
        <f t="shared" si="9"/>
        <v>23225159</v>
      </c>
      <c r="BC10" s="41">
        <v>316807</v>
      </c>
      <c r="BD10" s="43">
        <v>1724641</v>
      </c>
      <c r="BE10" s="43">
        <v>3101</v>
      </c>
      <c r="BF10" s="43">
        <v>0</v>
      </c>
      <c r="BG10" s="39">
        <f t="shared" si="10"/>
        <v>2044549</v>
      </c>
      <c r="BH10" s="41">
        <v>0</v>
      </c>
      <c r="BI10" s="43">
        <v>0</v>
      </c>
      <c r="BJ10" s="43">
        <v>0</v>
      </c>
      <c r="BK10" s="43">
        <v>0</v>
      </c>
      <c r="BL10" s="39">
        <f t="shared" si="11"/>
        <v>0</v>
      </c>
      <c r="BM10" s="41">
        <v>0</v>
      </c>
      <c r="BN10" s="43">
        <v>0</v>
      </c>
      <c r="BO10" s="43">
        <v>0</v>
      </c>
      <c r="BP10" s="43">
        <v>0</v>
      </c>
      <c r="BQ10" s="39">
        <f t="shared" si="12"/>
        <v>0</v>
      </c>
      <c r="BR10" s="41">
        <f>+J10+O10+T10+Y10+AD10+AI10+AN10+AS10+AX10+BC10+BH10+BM10</f>
        <v>3180476</v>
      </c>
      <c r="BS10" s="269">
        <f t="shared" si="13"/>
        <v>58967155</v>
      </c>
      <c r="BT10" s="43">
        <f>+L10+Q10+V10+AA10+AF10+AK10+AP10+AU10+AZ10+BE10+BJ10+BO10</f>
        <v>31986</v>
      </c>
      <c r="BU10" s="43">
        <f>+M10+R10+W10+AB10+AG10+AL10+AQ10+AV10+BA10+BF10+BK10+BP10</f>
        <v>0</v>
      </c>
      <c r="BV10" s="41">
        <f t="shared" si="2"/>
        <v>62179617</v>
      </c>
      <c r="BW10" s="9"/>
      <c r="BX10" s="208"/>
    </row>
    <row r="11" spans="1:78" x14ac:dyDescent="0.2">
      <c r="A11" s="202">
        <v>5</v>
      </c>
      <c r="B11" s="203" t="s">
        <v>189</v>
      </c>
      <c r="D11" s="204"/>
      <c r="E11" s="268">
        <v>6863669</v>
      </c>
      <c r="F11" s="269">
        <f>2196909-3503</f>
        <v>2193406</v>
      </c>
      <c r="G11" s="269">
        <v>465400</v>
      </c>
      <c r="H11" s="269">
        <v>5042</v>
      </c>
      <c r="I11" s="39">
        <f t="shared" si="0"/>
        <v>9527517</v>
      </c>
      <c r="J11" s="41">
        <v>454613</v>
      </c>
      <c r="K11" s="43">
        <v>294034</v>
      </c>
      <c r="L11" s="43">
        <v>3944</v>
      </c>
      <c r="M11" s="43">
        <v>0</v>
      </c>
      <c r="N11" s="39">
        <f t="shared" si="14"/>
        <v>752591</v>
      </c>
      <c r="O11" s="43">
        <v>522761</v>
      </c>
      <c r="P11" s="43">
        <v>642591</v>
      </c>
      <c r="Q11" s="43">
        <v>6800</v>
      </c>
      <c r="R11" s="43">
        <v>0</v>
      </c>
      <c r="S11" s="39">
        <f t="shared" si="3"/>
        <v>1172152</v>
      </c>
      <c r="T11" s="41">
        <v>480104</v>
      </c>
      <c r="U11" s="43">
        <v>162981</v>
      </c>
      <c r="V11" s="43">
        <v>16368</v>
      </c>
      <c r="W11" s="43">
        <v>0</v>
      </c>
      <c r="X11" s="39">
        <f t="shared" si="4"/>
        <v>659453</v>
      </c>
      <c r="Y11" s="41">
        <v>673647</v>
      </c>
      <c r="Z11" s="43">
        <v>145482</v>
      </c>
      <c r="AA11" s="43">
        <v>20965</v>
      </c>
      <c r="AB11" s="43">
        <v>0</v>
      </c>
      <c r="AC11" s="39">
        <f t="shared" si="5"/>
        <v>840094</v>
      </c>
      <c r="AD11" s="41">
        <v>481916</v>
      </c>
      <c r="AE11" s="43">
        <v>101861</v>
      </c>
      <c r="AF11" s="43">
        <v>42132</v>
      </c>
      <c r="AG11" s="43">
        <v>0</v>
      </c>
      <c r="AH11" s="39">
        <f t="shared" si="6"/>
        <v>625909</v>
      </c>
      <c r="AI11" s="41">
        <v>553031</v>
      </c>
      <c r="AJ11" s="43">
        <v>100654</v>
      </c>
      <c r="AK11" s="43">
        <v>23675</v>
      </c>
      <c r="AL11" s="43">
        <v>0</v>
      </c>
      <c r="AM11" s="39">
        <f t="shared" si="7"/>
        <v>677360</v>
      </c>
      <c r="AN11" s="41">
        <v>573970</v>
      </c>
      <c r="AO11" s="43">
        <v>140590</v>
      </c>
      <c r="AP11" s="43">
        <v>25343</v>
      </c>
      <c r="AQ11" s="43">
        <v>0</v>
      </c>
      <c r="AR11" s="39">
        <f t="shared" si="1"/>
        <v>739903</v>
      </c>
      <c r="AS11" s="41">
        <v>562306</v>
      </c>
      <c r="AT11" s="43">
        <v>100441</v>
      </c>
      <c r="AU11" s="43">
        <v>40753</v>
      </c>
      <c r="AV11" s="43">
        <v>0</v>
      </c>
      <c r="AW11" s="39">
        <f t="shared" si="8"/>
        <v>703500</v>
      </c>
      <c r="AX11" s="41">
        <v>473164</v>
      </c>
      <c r="AY11" s="43">
        <v>100263</v>
      </c>
      <c r="AZ11" s="43">
        <v>86522</v>
      </c>
      <c r="BA11" s="43">
        <v>0</v>
      </c>
      <c r="BB11" s="39">
        <f t="shared" si="9"/>
        <v>659949</v>
      </c>
      <c r="BC11" s="41">
        <v>565425</v>
      </c>
      <c r="BD11" s="43">
        <v>141330</v>
      </c>
      <c r="BE11" s="43">
        <v>10503</v>
      </c>
      <c r="BF11" s="43">
        <v>0</v>
      </c>
      <c r="BG11" s="39">
        <f t="shared" si="10"/>
        <v>717258</v>
      </c>
      <c r="BH11" s="41">
        <v>0</v>
      </c>
      <c r="BI11" s="43">
        <v>0</v>
      </c>
      <c r="BJ11" s="43">
        <v>0</v>
      </c>
      <c r="BK11" s="43">
        <v>0</v>
      </c>
      <c r="BL11" s="39">
        <f t="shared" si="11"/>
        <v>0</v>
      </c>
      <c r="BM11" s="41">
        <v>0</v>
      </c>
      <c r="BN11" s="43">
        <v>0</v>
      </c>
      <c r="BO11" s="43">
        <v>0</v>
      </c>
      <c r="BP11" s="43">
        <v>0</v>
      </c>
      <c r="BQ11" s="39">
        <f t="shared" si="12"/>
        <v>0</v>
      </c>
      <c r="BR11" s="41">
        <f t="shared" ref="BR11:BU46" si="15">+J11+O11+T11+Y11+AD11+AI11+AN11+AS11+AX11+BC11+BH11+BM11</f>
        <v>5340937</v>
      </c>
      <c r="BS11" s="269">
        <f t="shared" si="13"/>
        <v>1930227</v>
      </c>
      <c r="BT11" s="43">
        <f t="shared" si="13"/>
        <v>277005</v>
      </c>
      <c r="BU11" s="43">
        <f t="shared" si="13"/>
        <v>0</v>
      </c>
      <c r="BV11" s="41">
        <f>SUM(BR11:BU11)</f>
        <v>7548169</v>
      </c>
      <c r="BW11" s="9"/>
      <c r="BX11" s="208"/>
    </row>
    <row r="12" spans="1:78" x14ac:dyDescent="0.2">
      <c r="A12" s="202">
        <v>6</v>
      </c>
      <c r="B12" s="203" t="s">
        <v>190</v>
      </c>
      <c r="D12" s="204"/>
      <c r="E12" s="268">
        <v>5369192</v>
      </c>
      <c r="F12" s="269">
        <v>882300</v>
      </c>
      <c r="G12" s="269">
        <v>58539</v>
      </c>
      <c r="H12" s="269">
        <v>13</v>
      </c>
      <c r="I12" s="39">
        <f t="shared" si="0"/>
        <v>6310044</v>
      </c>
      <c r="J12" s="41">
        <v>439016</v>
      </c>
      <c r="K12" s="43">
        <v>441489</v>
      </c>
      <c r="L12" s="43">
        <v>6067</v>
      </c>
      <c r="M12" s="43">
        <v>0</v>
      </c>
      <c r="N12" s="39">
        <f t="shared" si="14"/>
        <v>886572</v>
      </c>
      <c r="O12" s="43">
        <v>429861</v>
      </c>
      <c r="P12" s="43">
        <v>12354</v>
      </c>
      <c r="Q12" s="43">
        <v>43184</v>
      </c>
      <c r="R12" s="43">
        <v>0</v>
      </c>
      <c r="S12" s="39">
        <f t="shared" si="3"/>
        <v>485399</v>
      </c>
      <c r="T12" s="41">
        <v>433045</v>
      </c>
      <c r="U12" s="43">
        <v>52997</v>
      </c>
      <c r="V12" s="43">
        <v>4479</v>
      </c>
      <c r="W12" s="43">
        <v>0</v>
      </c>
      <c r="X12" s="39">
        <f t="shared" si="4"/>
        <v>490521</v>
      </c>
      <c r="Y12" s="41">
        <v>489724</v>
      </c>
      <c r="Z12" s="43">
        <v>90780</v>
      </c>
      <c r="AA12" s="43">
        <v>42140</v>
      </c>
      <c r="AB12" s="43">
        <v>529</v>
      </c>
      <c r="AC12" s="39">
        <f t="shared" si="5"/>
        <v>623173</v>
      </c>
      <c r="AD12" s="41">
        <v>436776</v>
      </c>
      <c r="AE12" s="43">
        <v>9295</v>
      </c>
      <c r="AF12" s="43">
        <v>3939</v>
      </c>
      <c r="AG12" s="43">
        <v>0</v>
      </c>
      <c r="AH12" s="39">
        <f t="shared" si="6"/>
        <v>450010</v>
      </c>
      <c r="AI12" s="41">
        <v>504822</v>
      </c>
      <c r="AJ12" s="43">
        <v>15096</v>
      </c>
      <c r="AK12" s="43">
        <v>-72669</v>
      </c>
      <c r="AL12" s="43">
        <v>0</v>
      </c>
      <c r="AM12" s="39">
        <f t="shared" si="7"/>
        <v>447249</v>
      </c>
      <c r="AN12" s="41">
        <v>467913</v>
      </c>
      <c r="AO12" s="43">
        <v>1286</v>
      </c>
      <c r="AP12" s="43">
        <v>2364</v>
      </c>
      <c r="AQ12" s="43">
        <v>58</v>
      </c>
      <c r="AR12" s="39">
        <f t="shared" si="1"/>
        <v>471621</v>
      </c>
      <c r="AS12" s="41">
        <v>369654</v>
      </c>
      <c r="AT12" s="43">
        <v>5345</v>
      </c>
      <c r="AU12" s="43">
        <v>204</v>
      </c>
      <c r="AV12" s="43">
        <v>-587</v>
      </c>
      <c r="AW12" s="39">
        <f t="shared" si="8"/>
        <v>374616</v>
      </c>
      <c r="AX12" s="41">
        <v>458920</v>
      </c>
      <c r="AY12" s="43">
        <v>4198</v>
      </c>
      <c r="AZ12" s="43">
        <v>4887</v>
      </c>
      <c r="BA12" s="43">
        <v>0</v>
      </c>
      <c r="BB12" s="39">
        <f t="shared" si="9"/>
        <v>468005</v>
      </c>
      <c r="BC12" s="41">
        <v>201931</v>
      </c>
      <c r="BD12" s="43">
        <v>278</v>
      </c>
      <c r="BE12" s="43">
        <v>101</v>
      </c>
      <c r="BF12" s="43">
        <v>0</v>
      </c>
      <c r="BG12" s="39">
        <f t="shared" si="10"/>
        <v>202310</v>
      </c>
      <c r="BH12" s="41">
        <v>0</v>
      </c>
      <c r="BI12" s="43">
        <v>0</v>
      </c>
      <c r="BJ12" s="43">
        <v>0</v>
      </c>
      <c r="BK12" s="43">
        <v>0</v>
      </c>
      <c r="BL12" s="39">
        <f>SUM(BH12:BK12)</f>
        <v>0</v>
      </c>
      <c r="BM12" s="41">
        <v>0</v>
      </c>
      <c r="BN12" s="43">
        <v>0</v>
      </c>
      <c r="BO12" s="43">
        <v>0</v>
      </c>
      <c r="BP12" s="43">
        <v>0</v>
      </c>
      <c r="BQ12" s="39">
        <f t="shared" si="12"/>
        <v>0</v>
      </c>
      <c r="BR12" s="41">
        <f t="shared" si="15"/>
        <v>4231662</v>
      </c>
      <c r="BS12" s="269">
        <f t="shared" si="13"/>
        <v>633118</v>
      </c>
      <c r="BT12" s="43">
        <f t="shared" si="13"/>
        <v>34696</v>
      </c>
      <c r="BU12" s="43">
        <f t="shared" si="13"/>
        <v>0</v>
      </c>
      <c r="BV12" s="41">
        <f t="shared" si="2"/>
        <v>4899476</v>
      </c>
      <c r="BW12" s="9"/>
      <c r="BX12" s="208"/>
    </row>
    <row r="13" spans="1:78" x14ac:dyDescent="0.2">
      <c r="A13" s="202">
        <v>7</v>
      </c>
      <c r="B13" s="203" t="s">
        <v>192</v>
      </c>
      <c r="D13" s="209"/>
      <c r="E13" s="268">
        <v>2014384</v>
      </c>
      <c r="F13" s="269">
        <v>23532333</v>
      </c>
      <c r="G13" s="269">
        <v>13554</v>
      </c>
      <c r="H13" s="269">
        <v>4273817</v>
      </c>
      <c r="I13" s="39">
        <f t="shared" si="0"/>
        <v>29834088</v>
      </c>
      <c r="J13" s="41">
        <v>149165</v>
      </c>
      <c r="K13" s="43">
        <v>1582311</v>
      </c>
      <c r="L13" s="43">
        <v>2036</v>
      </c>
      <c r="M13" s="43">
        <v>0</v>
      </c>
      <c r="N13" s="39">
        <f t="shared" si="14"/>
        <v>1733512</v>
      </c>
      <c r="O13" s="43">
        <v>194420</v>
      </c>
      <c r="P13" s="43">
        <v>1565933</v>
      </c>
      <c r="Q13" s="43">
        <v>1021</v>
      </c>
      <c r="R13" s="43">
        <v>78</v>
      </c>
      <c r="S13" s="39">
        <f t="shared" si="3"/>
        <v>1761452</v>
      </c>
      <c r="T13" s="41">
        <v>90234</v>
      </c>
      <c r="U13" s="43">
        <v>1672323</v>
      </c>
      <c r="V13" s="43">
        <v>2236</v>
      </c>
      <c r="W13" s="43">
        <v>0</v>
      </c>
      <c r="X13" s="39">
        <f t="shared" si="4"/>
        <v>1764793</v>
      </c>
      <c r="Y13" s="41">
        <v>200618</v>
      </c>
      <c r="Z13" s="43">
        <v>1839720</v>
      </c>
      <c r="AA13" s="43">
        <v>712</v>
      </c>
      <c r="AB13" s="43">
        <v>0</v>
      </c>
      <c r="AC13" s="39">
        <f t="shared" si="5"/>
        <v>2041050</v>
      </c>
      <c r="AD13" s="41">
        <v>142937</v>
      </c>
      <c r="AE13" s="43">
        <v>2296090</v>
      </c>
      <c r="AF13" s="43">
        <v>260</v>
      </c>
      <c r="AG13" s="43">
        <v>0</v>
      </c>
      <c r="AH13" s="39">
        <f t="shared" si="6"/>
        <v>2439287</v>
      </c>
      <c r="AI13" s="41">
        <v>124883</v>
      </c>
      <c r="AJ13" s="43">
        <v>1661768</v>
      </c>
      <c r="AK13" s="43">
        <v>1796</v>
      </c>
      <c r="AL13" s="43">
        <v>0</v>
      </c>
      <c r="AM13" s="39">
        <f t="shared" si="7"/>
        <v>1788447</v>
      </c>
      <c r="AN13" s="41">
        <v>197481</v>
      </c>
      <c r="AO13" s="43">
        <v>1814144</v>
      </c>
      <c r="AP13" s="43">
        <v>1529</v>
      </c>
      <c r="AQ13" s="43">
        <v>0</v>
      </c>
      <c r="AR13" s="39">
        <f t="shared" si="1"/>
        <v>2013154</v>
      </c>
      <c r="AS13" s="41">
        <v>182965</v>
      </c>
      <c r="AT13" s="43">
        <v>1930400</v>
      </c>
      <c r="AU13" s="43">
        <v>502</v>
      </c>
      <c r="AV13" s="43">
        <v>0</v>
      </c>
      <c r="AW13" s="39">
        <f t="shared" si="8"/>
        <v>2113867</v>
      </c>
      <c r="AX13" s="41">
        <v>158245</v>
      </c>
      <c r="AY13" s="43">
        <v>1598092</v>
      </c>
      <c r="AZ13" s="43">
        <v>1034</v>
      </c>
      <c r="BA13" s="43">
        <v>4273500</v>
      </c>
      <c r="BB13" s="39">
        <f t="shared" si="9"/>
        <v>6030871</v>
      </c>
      <c r="BC13" s="41">
        <v>156923</v>
      </c>
      <c r="BD13" s="43">
        <v>1882281</v>
      </c>
      <c r="BE13" s="43">
        <v>253</v>
      </c>
      <c r="BF13" s="43">
        <v>170</v>
      </c>
      <c r="BG13" s="39">
        <f t="shared" si="10"/>
        <v>2039627</v>
      </c>
      <c r="BH13" s="41">
        <v>0</v>
      </c>
      <c r="BI13" s="43">
        <v>0</v>
      </c>
      <c r="BJ13" s="43">
        <v>0</v>
      </c>
      <c r="BK13" s="43">
        <v>0</v>
      </c>
      <c r="BL13" s="39">
        <f t="shared" si="11"/>
        <v>0</v>
      </c>
      <c r="BM13" s="41">
        <v>0</v>
      </c>
      <c r="BN13" s="43">
        <v>0</v>
      </c>
      <c r="BO13" s="43">
        <v>0</v>
      </c>
      <c r="BP13" s="43">
        <v>0</v>
      </c>
      <c r="BQ13" s="39">
        <f t="shared" si="12"/>
        <v>0</v>
      </c>
      <c r="BR13" s="41">
        <f t="shared" si="15"/>
        <v>1597871</v>
      </c>
      <c r="BS13" s="269">
        <f t="shared" si="13"/>
        <v>17843062</v>
      </c>
      <c r="BT13" s="43">
        <f t="shared" si="13"/>
        <v>11379</v>
      </c>
      <c r="BU13" s="43">
        <f t="shared" si="13"/>
        <v>4273748</v>
      </c>
      <c r="BV13" s="41">
        <f>SUM(BR13:BU13)</f>
        <v>23726060</v>
      </c>
      <c r="BW13" s="9"/>
      <c r="BX13" s="208"/>
      <c r="BZ13" s="1"/>
    </row>
    <row r="14" spans="1:78" x14ac:dyDescent="0.2">
      <c r="A14" s="202">
        <v>8</v>
      </c>
      <c r="B14" s="203" t="s">
        <v>193</v>
      </c>
      <c r="D14" s="209"/>
      <c r="E14" s="268">
        <v>445155</v>
      </c>
      <c r="F14" s="269">
        <v>460883</v>
      </c>
      <c r="G14" s="269">
        <f>8811-361</f>
        <v>8450</v>
      </c>
      <c r="H14" s="269">
        <v>30</v>
      </c>
      <c r="I14" s="39">
        <f>SUM(E14:H14)</f>
        <v>914518</v>
      </c>
      <c r="J14" s="41">
        <v>28996</v>
      </c>
      <c r="K14" s="43">
        <v>0</v>
      </c>
      <c r="L14" s="43">
        <v>11</v>
      </c>
      <c r="M14" s="43">
        <v>0</v>
      </c>
      <c r="N14" s="39">
        <f t="shared" si="14"/>
        <v>29007</v>
      </c>
      <c r="O14" s="43">
        <v>33122</v>
      </c>
      <c r="P14" s="43">
        <v>110053</v>
      </c>
      <c r="Q14" s="43">
        <v>1109</v>
      </c>
      <c r="R14" s="43">
        <v>0</v>
      </c>
      <c r="S14" s="39">
        <f t="shared" si="3"/>
        <v>144284</v>
      </c>
      <c r="T14" s="41">
        <v>32962</v>
      </c>
      <c r="U14" s="43">
        <v>0</v>
      </c>
      <c r="V14" s="43">
        <v>167</v>
      </c>
      <c r="W14" s="43">
        <v>0</v>
      </c>
      <c r="X14" s="39">
        <f t="shared" si="4"/>
        <v>33129</v>
      </c>
      <c r="Y14" s="41">
        <v>34454</v>
      </c>
      <c r="Z14" s="43">
        <v>35</v>
      </c>
      <c r="AA14" s="43">
        <v>154</v>
      </c>
      <c r="AB14" s="43">
        <v>0</v>
      </c>
      <c r="AC14" s="39">
        <f t="shared" si="5"/>
        <v>34643</v>
      </c>
      <c r="AD14" s="41">
        <v>36533</v>
      </c>
      <c r="AE14" s="43">
        <v>129732</v>
      </c>
      <c r="AF14" s="43">
        <v>139</v>
      </c>
      <c r="AG14" s="43">
        <v>0</v>
      </c>
      <c r="AH14" s="39">
        <f t="shared" si="6"/>
        <v>166404</v>
      </c>
      <c r="AI14" s="41">
        <v>34085</v>
      </c>
      <c r="AJ14" s="43">
        <v>97</v>
      </c>
      <c r="AK14" s="43">
        <v>351</v>
      </c>
      <c r="AL14" s="43">
        <v>1</v>
      </c>
      <c r="AM14" s="39">
        <f t="shared" si="7"/>
        <v>34534</v>
      </c>
      <c r="AN14" s="41">
        <v>42019</v>
      </c>
      <c r="AO14" s="43">
        <v>149</v>
      </c>
      <c r="AP14" s="43">
        <v>788</v>
      </c>
      <c r="AQ14" s="43">
        <v>0</v>
      </c>
      <c r="AR14" s="39">
        <f t="shared" si="1"/>
        <v>42956</v>
      </c>
      <c r="AS14" s="41">
        <v>35543</v>
      </c>
      <c r="AT14" s="43">
        <v>110376</v>
      </c>
      <c r="AU14" s="43">
        <v>242</v>
      </c>
      <c r="AV14" s="43">
        <v>0</v>
      </c>
      <c r="AW14" s="39">
        <f t="shared" si="8"/>
        <v>146161</v>
      </c>
      <c r="AX14" s="41">
        <v>37185</v>
      </c>
      <c r="AY14" s="43">
        <v>299</v>
      </c>
      <c r="AZ14" s="43">
        <v>1922</v>
      </c>
      <c r="BA14" s="43">
        <v>0</v>
      </c>
      <c r="BB14" s="39">
        <f t="shared" si="9"/>
        <v>39406</v>
      </c>
      <c r="BC14" s="41">
        <v>35125</v>
      </c>
      <c r="BD14" s="43">
        <v>49</v>
      </c>
      <c r="BE14" s="43">
        <v>1377</v>
      </c>
      <c r="BF14" s="43">
        <v>0</v>
      </c>
      <c r="BG14" s="39">
        <f t="shared" si="10"/>
        <v>36551</v>
      </c>
      <c r="BH14" s="41">
        <v>0</v>
      </c>
      <c r="BI14" s="43">
        <v>0</v>
      </c>
      <c r="BJ14" s="43">
        <v>0</v>
      </c>
      <c r="BK14" s="43">
        <v>0</v>
      </c>
      <c r="BL14" s="39">
        <f t="shared" si="11"/>
        <v>0</v>
      </c>
      <c r="BM14" s="41">
        <v>0</v>
      </c>
      <c r="BN14" s="43">
        <v>0</v>
      </c>
      <c r="BO14" s="43">
        <v>0</v>
      </c>
      <c r="BP14" s="43">
        <v>0</v>
      </c>
      <c r="BQ14" s="39">
        <f t="shared" si="12"/>
        <v>0</v>
      </c>
      <c r="BR14" s="41">
        <f t="shared" si="15"/>
        <v>350024</v>
      </c>
      <c r="BS14" s="269">
        <f t="shared" si="13"/>
        <v>350790</v>
      </c>
      <c r="BT14" s="43">
        <f t="shared" si="13"/>
        <v>6260</v>
      </c>
      <c r="BU14" s="43">
        <f t="shared" si="13"/>
        <v>1</v>
      </c>
      <c r="BV14" s="41">
        <f t="shared" si="2"/>
        <v>707075</v>
      </c>
      <c r="BW14" s="9"/>
      <c r="BX14" s="208"/>
    </row>
    <row r="15" spans="1:78" x14ac:dyDescent="0.2">
      <c r="A15" s="202">
        <v>9</v>
      </c>
      <c r="B15" s="210" t="s">
        <v>194</v>
      </c>
      <c r="D15" s="207"/>
      <c r="E15" s="268">
        <v>233992</v>
      </c>
      <c r="F15" s="269">
        <v>8128</v>
      </c>
      <c r="G15" s="269">
        <v>4228</v>
      </c>
      <c r="H15" s="269">
        <v>56600041</v>
      </c>
      <c r="I15" s="39">
        <f>SUM(E15:H15)</f>
        <v>56846389</v>
      </c>
      <c r="J15" s="41">
        <v>22363</v>
      </c>
      <c r="K15" s="43">
        <v>2</v>
      </c>
      <c r="L15" s="43">
        <v>0</v>
      </c>
      <c r="M15" s="43">
        <v>0</v>
      </c>
      <c r="N15" s="39">
        <f t="shared" si="14"/>
        <v>22365</v>
      </c>
      <c r="O15" s="43">
        <v>14051</v>
      </c>
      <c r="P15" s="43">
        <v>19</v>
      </c>
      <c r="Q15" s="43">
        <v>168</v>
      </c>
      <c r="R15" s="43">
        <v>0</v>
      </c>
      <c r="S15" s="39">
        <f t="shared" si="3"/>
        <v>14238</v>
      </c>
      <c r="T15" s="41">
        <v>16701</v>
      </c>
      <c r="U15" s="43">
        <v>1</v>
      </c>
      <c r="V15" s="43">
        <v>449</v>
      </c>
      <c r="W15" s="43">
        <v>0</v>
      </c>
      <c r="X15" s="39">
        <f t="shared" si="4"/>
        <v>17151</v>
      </c>
      <c r="Y15" s="41">
        <v>17978</v>
      </c>
      <c r="Z15" s="43">
        <v>122</v>
      </c>
      <c r="AA15" s="43">
        <v>93</v>
      </c>
      <c r="AB15" s="43">
        <v>0</v>
      </c>
      <c r="AC15" s="39">
        <f t="shared" si="5"/>
        <v>18193</v>
      </c>
      <c r="AD15" s="41">
        <v>22653</v>
      </c>
      <c r="AE15" s="43">
        <v>76</v>
      </c>
      <c r="AF15" s="43">
        <v>255</v>
      </c>
      <c r="AG15" s="43">
        <v>0</v>
      </c>
      <c r="AH15" s="39">
        <f t="shared" si="6"/>
        <v>22984</v>
      </c>
      <c r="AI15" s="41">
        <v>14911</v>
      </c>
      <c r="AJ15" s="43">
        <v>4745</v>
      </c>
      <c r="AK15" s="43">
        <v>-48</v>
      </c>
      <c r="AL15" s="43">
        <v>13500000</v>
      </c>
      <c r="AM15" s="39">
        <f>SUM(AI15:AL15)</f>
        <v>13519608</v>
      </c>
      <c r="AN15" s="41">
        <v>18930</v>
      </c>
      <c r="AO15" s="43">
        <v>3</v>
      </c>
      <c r="AP15" s="43">
        <v>26</v>
      </c>
      <c r="AQ15" s="43">
        <v>0</v>
      </c>
      <c r="AR15" s="39">
        <f t="shared" si="1"/>
        <v>18959</v>
      </c>
      <c r="AS15" s="41">
        <v>21167</v>
      </c>
      <c r="AT15" s="43">
        <v>0</v>
      </c>
      <c r="AU15" s="43">
        <v>22</v>
      </c>
      <c r="AV15" s="43">
        <v>0</v>
      </c>
      <c r="AW15" s="39">
        <f t="shared" si="8"/>
        <v>21189</v>
      </c>
      <c r="AX15" s="41">
        <v>24388</v>
      </c>
      <c r="AY15" s="43">
        <v>100</v>
      </c>
      <c r="AZ15" s="43">
        <v>2751</v>
      </c>
      <c r="BA15" s="43">
        <v>13000000</v>
      </c>
      <c r="BB15" s="39">
        <f t="shared" si="9"/>
        <v>13027239</v>
      </c>
      <c r="BC15" s="41">
        <v>9997</v>
      </c>
      <c r="BD15" s="43">
        <v>0</v>
      </c>
      <c r="BE15" s="43">
        <v>321</v>
      </c>
      <c r="BF15" s="43">
        <f>5500000+300000+1800000</f>
        <v>7600000</v>
      </c>
      <c r="BG15" s="39">
        <f t="shared" si="10"/>
        <v>7610318</v>
      </c>
      <c r="BH15" s="41">
        <v>0</v>
      </c>
      <c r="BI15" s="43">
        <v>0</v>
      </c>
      <c r="BJ15" s="43">
        <v>0</v>
      </c>
      <c r="BK15" s="43">
        <v>0</v>
      </c>
      <c r="BL15" s="39">
        <f t="shared" si="11"/>
        <v>0</v>
      </c>
      <c r="BM15" s="41">
        <v>0</v>
      </c>
      <c r="BN15" s="43">
        <v>0</v>
      </c>
      <c r="BO15" s="43">
        <v>0</v>
      </c>
      <c r="BP15" s="43">
        <v>0</v>
      </c>
      <c r="BQ15" s="39">
        <f t="shared" si="12"/>
        <v>0</v>
      </c>
      <c r="BR15" s="41">
        <f t="shared" si="15"/>
        <v>183139</v>
      </c>
      <c r="BS15" s="269">
        <f t="shared" si="13"/>
        <v>5068</v>
      </c>
      <c r="BT15" s="43">
        <f t="shared" si="13"/>
        <v>4037</v>
      </c>
      <c r="BU15" s="43">
        <f>+M15+R15+W15+AB15+AG15+AL15+AQ15+AV15+BA15+BF15+BK15+BP15</f>
        <v>34100000</v>
      </c>
      <c r="BV15" s="41">
        <f t="shared" si="2"/>
        <v>34292244</v>
      </c>
      <c r="BW15" s="9"/>
      <c r="BX15" s="208"/>
      <c r="BZ15" s="1"/>
    </row>
    <row r="16" spans="1:78" x14ac:dyDescent="0.2">
      <c r="A16" s="202">
        <v>10</v>
      </c>
      <c r="B16" s="203" t="s">
        <v>195</v>
      </c>
      <c r="D16" s="204"/>
      <c r="E16" s="268">
        <v>442608</v>
      </c>
      <c r="F16" s="269">
        <v>508245</v>
      </c>
      <c r="G16" s="269">
        <v>3262</v>
      </c>
      <c r="H16" s="269">
        <v>850</v>
      </c>
      <c r="I16" s="39">
        <f t="shared" si="0"/>
        <v>954965</v>
      </c>
      <c r="J16" s="41">
        <v>29256</v>
      </c>
      <c r="K16" s="43">
        <v>39528</v>
      </c>
      <c r="L16" s="43">
        <v>423</v>
      </c>
      <c r="M16" s="43">
        <v>0</v>
      </c>
      <c r="N16" s="39">
        <f t="shared" si="14"/>
        <v>69207</v>
      </c>
      <c r="O16" s="43">
        <v>37301</v>
      </c>
      <c r="P16" s="43">
        <v>37239</v>
      </c>
      <c r="Q16" s="43">
        <v>268</v>
      </c>
      <c r="R16" s="43">
        <v>0</v>
      </c>
      <c r="S16" s="39">
        <f>SUM(O16:R16)</f>
        <v>74808</v>
      </c>
      <c r="T16" s="41">
        <v>30158</v>
      </c>
      <c r="U16" s="43">
        <v>43295</v>
      </c>
      <c r="V16" s="43">
        <v>278</v>
      </c>
      <c r="W16" s="43">
        <v>0</v>
      </c>
      <c r="X16" s="39">
        <f t="shared" si="4"/>
        <v>73731</v>
      </c>
      <c r="Y16" s="41">
        <v>33502</v>
      </c>
      <c r="Z16" s="43">
        <v>44814</v>
      </c>
      <c r="AA16" s="43">
        <v>611</v>
      </c>
      <c r="AB16" s="43">
        <v>0</v>
      </c>
      <c r="AC16" s="39">
        <f t="shared" si="5"/>
        <v>78927</v>
      </c>
      <c r="AD16" s="41">
        <v>33117</v>
      </c>
      <c r="AE16" s="43">
        <v>41736</v>
      </c>
      <c r="AF16" s="43">
        <v>415</v>
      </c>
      <c r="AG16" s="43">
        <v>837</v>
      </c>
      <c r="AH16" s="39">
        <f t="shared" si="6"/>
        <v>76105</v>
      </c>
      <c r="AI16" s="41">
        <v>32396</v>
      </c>
      <c r="AJ16" s="43">
        <v>44878</v>
      </c>
      <c r="AK16" s="43">
        <v>-499</v>
      </c>
      <c r="AL16" s="43">
        <v>-837</v>
      </c>
      <c r="AM16" s="39">
        <f t="shared" si="7"/>
        <v>75938</v>
      </c>
      <c r="AN16" s="41">
        <v>33272</v>
      </c>
      <c r="AO16" s="43">
        <v>42872</v>
      </c>
      <c r="AP16" s="43">
        <v>524</v>
      </c>
      <c r="AQ16" s="43">
        <v>13</v>
      </c>
      <c r="AR16" s="39">
        <f t="shared" si="1"/>
        <v>76681</v>
      </c>
      <c r="AS16" s="41">
        <v>31873</v>
      </c>
      <c r="AT16" s="43">
        <v>42105</v>
      </c>
      <c r="AU16" s="43">
        <v>188</v>
      </c>
      <c r="AV16" s="43">
        <v>0</v>
      </c>
      <c r="AW16" s="39">
        <f t="shared" si="8"/>
        <v>74166</v>
      </c>
      <c r="AX16" s="41">
        <v>32575</v>
      </c>
      <c r="AY16" s="43">
        <v>44212</v>
      </c>
      <c r="AZ16" s="43">
        <v>102</v>
      </c>
      <c r="BA16" s="43">
        <v>0</v>
      </c>
      <c r="BB16" s="39">
        <f t="shared" si="9"/>
        <v>76889</v>
      </c>
      <c r="BC16" s="41">
        <v>29100</v>
      </c>
      <c r="BD16" s="43">
        <v>38185</v>
      </c>
      <c r="BE16" s="43">
        <v>203</v>
      </c>
      <c r="BF16" s="43">
        <v>0</v>
      </c>
      <c r="BG16" s="39">
        <f t="shared" si="10"/>
        <v>67488</v>
      </c>
      <c r="BH16" s="41">
        <v>0</v>
      </c>
      <c r="BI16" s="43">
        <v>0</v>
      </c>
      <c r="BJ16" s="43">
        <v>0</v>
      </c>
      <c r="BK16" s="43">
        <v>0</v>
      </c>
      <c r="BL16" s="39">
        <f>SUM(BH16:BK16)</f>
        <v>0</v>
      </c>
      <c r="BM16" s="41">
        <v>0</v>
      </c>
      <c r="BN16" s="43">
        <v>0</v>
      </c>
      <c r="BO16" s="43">
        <v>0</v>
      </c>
      <c r="BP16" s="43">
        <v>0</v>
      </c>
      <c r="BQ16" s="39">
        <f t="shared" si="12"/>
        <v>0</v>
      </c>
      <c r="BR16" s="41">
        <f t="shared" si="15"/>
        <v>322550</v>
      </c>
      <c r="BS16" s="269">
        <f t="shared" si="13"/>
        <v>418864</v>
      </c>
      <c r="BT16" s="43">
        <f t="shared" si="13"/>
        <v>2513</v>
      </c>
      <c r="BU16" s="43">
        <f t="shared" si="13"/>
        <v>13</v>
      </c>
      <c r="BV16" s="41">
        <f t="shared" si="2"/>
        <v>743940</v>
      </c>
      <c r="BW16" s="9"/>
      <c r="BX16" s="208"/>
    </row>
    <row r="17" spans="1:80" x14ac:dyDescent="0.2">
      <c r="A17" s="202">
        <v>11</v>
      </c>
      <c r="B17" s="180" t="s">
        <v>259</v>
      </c>
      <c r="D17" s="207"/>
      <c r="E17" s="268">
        <v>868386</v>
      </c>
      <c r="F17" s="269">
        <v>6874183</v>
      </c>
      <c r="G17" s="269">
        <v>17479</v>
      </c>
      <c r="H17" s="269">
        <v>166</v>
      </c>
      <c r="I17" s="39">
        <f t="shared" si="0"/>
        <v>7760214</v>
      </c>
      <c r="J17" s="41">
        <v>56180</v>
      </c>
      <c r="K17" s="43">
        <v>1231312</v>
      </c>
      <c r="L17" s="43">
        <v>193</v>
      </c>
      <c r="M17" s="43">
        <v>0</v>
      </c>
      <c r="N17" s="39">
        <f t="shared" si="14"/>
        <v>1287685</v>
      </c>
      <c r="O17" s="43">
        <v>64574</v>
      </c>
      <c r="P17" s="43">
        <v>156127</v>
      </c>
      <c r="Q17" s="43">
        <v>1403</v>
      </c>
      <c r="R17" s="43">
        <v>0</v>
      </c>
      <c r="S17" s="39">
        <f>SUM(O17:R17)</f>
        <v>222104</v>
      </c>
      <c r="T17" s="41">
        <v>98696</v>
      </c>
      <c r="U17" s="43">
        <v>394727</v>
      </c>
      <c r="V17" s="43">
        <v>2008</v>
      </c>
      <c r="W17" s="43">
        <v>0</v>
      </c>
      <c r="X17" s="39">
        <f t="shared" si="4"/>
        <v>495431</v>
      </c>
      <c r="Y17" s="41">
        <v>65628</v>
      </c>
      <c r="Z17" s="43">
        <v>1057255</v>
      </c>
      <c r="AA17" s="43">
        <v>1220</v>
      </c>
      <c r="AB17" s="43">
        <v>0</v>
      </c>
      <c r="AC17" s="39">
        <f t="shared" si="5"/>
        <v>1124103</v>
      </c>
      <c r="AD17" s="41">
        <v>78891</v>
      </c>
      <c r="AE17" s="43">
        <v>352032</v>
      </c>
      <c r="AF17" s="43">
        <v>5515</v>
      </c>
      <c r="AG17" s="43">
        <v>0</v>
      </c>
      <c r="AH17" s="39">
        <f t="shared" si="6"/>
        <v>436438</v>
      </c>
      <c r="AI17" s="41">
        <v>64686</v>
      </c>
      <c r="AJ17" s="43">
        <v>145775</v>
      </c>
      <c r="AK17" s="43">
        <v>1304</v>
      </c>
      <c r="AL17" s="43">
        <v>0</v>
      </c>
      <c r="AM17" s="39">
        <f t="shared" si="7"/>
        <v>211765</v>
      </c>
      <c r="AN17" s="41">
        <v>66095</v>
      </c>
      <c r="AO17" s="43">
        <v>1265207</v>
      </c>
      <c r="AP17" s="43">
        <v>2567</v>
      </c>
      <c r="AQ17" s="43">
        <v>0</v>
      </c>
      <c r="AR17" s="39">
        <f t="shared" si="1"/>
        <v>1333869</v>
      </c>
      <c r="AS17" s="41">
        <v>81198</v>
      </c>
      <c r="AT17" s="43">
        <v>317409</v>
      </c>
      <c r="AU17" s="43">
        <v>780</v>
      </c>
      <c r="AV17" s="43">
        <v>0</v>
      </c>
      <c r="AW17" s="39">
        <f t="shared" si="8"/>
        <v>399387</v>
      </c>
      <c r="AX17" s="41">
        <v>71138</v>
      </c>
      <c r="AY17" s="43">
        <v>133451</v>
      </c>
      <c r="AZ17" s="43">
        <v>293</v>
      </c>
      <c r="BA17" s="43">
        <v>0</v>
      </c>
      <c r="BB17" s="39">
        <f>SUM(AX17:BA17)</f>
        <v>204882</v>
      </c>
      <c r="BC17" s="41">
        <v>52811</v>
      </c>
      <c r="BD17" s="43">
        <v>1441993</v>
      </c>
      <c r="BE17" s="43">
        <v>359</v>
      </c>
      <c r="BF17" s="43">
        <v>0</v>
      </c>
      <c r="BG17" s="39">
        <f t="shared" si="10"/>
        <v>1495163</v>
      </c>
      <c r="BH17" s="41">
        <v>0</v>
      </c>
      <c r="BI17" s="43">
        <v>0</v>
      </c>
      <c r="BJ17" s="43">
        <v>0</v>
      </c>
      <c r="BK17" s="43">
        <v>0</v>
      </c>
      <c r="BL17" s="39">
        <f t="shared" si="11"/>
        <v>0</v>
      </c>
      <c r="BM17" s="41">
        <v>0</v>
      </c>
      <c r="BN17" s="43">
        <v>0</v>
      </c>
      <c r="BO17" s="43">
        <v>0</v>
      </c>
      <c r="BP17" s="43">
        <v>0</v>
      </c>
      <c r="BQ17" s="39">
        <f t="shared" si="12"/>
        <v>0</v>
      </c>
      <c r="BR17" s="41">
        <f t="shared" si="15"/>
        <v>699897</v>
      </c>
      <c r="BS17" s="269">
        <f t="shared" si="13"/>
        <v>6495288</v>
      </c>
      <c r="BT17" s="43">
        <f t="shared" si="13"/>
        <v>15642</v>
      </c>
      <c r="BU17" s="43">
        <f t="shared" si="13"/>
        <v>0</v>
      </c>
      <c r="BV17" s="41">
        <f t="shared" si="2"/>
        <v>7210827</v>
      </c>
      <c r="BW17" s="9"/>
      <c r="BX17" s="208"/>
    </row>
    <row r="18" spans="1:80" x14ac:dyDescent="0.2">
      <c r="A18" s="202">
        <v>12</v>
      </c>
      <c r="B18" s="203" t="s">
        <v>198</v>
      </c>
      <c r="D18" s="209"/>
      <c r="E18" s="268">
        <v>2225953</v>
      </c>
      <c r="F18" s="269">
        <v>3272</v>
      </c>
      <c r="G18" s="269">
        <v>315599</v>
      </c>
      <c r="H18" s="269">
        <v>8638</v>
      </c>
      <c r="I18" s="39">
        <f t="shared" si="0"/>
        <v>2553462</v>
      </c>
      <c r="J18" s="41">
        <v>144532</v>
      </c>
      <c r="K18" s="43">
        <v>75</v>
      </c>
      <c r="L18" s="43">
        <v>21611</v>
      </c>
      <c r="M18" s="43">
        <v>0</v>
      </c>
      <c r="N18" s="39">
        <f t="shared" si="14"/>
        <v>166218</v>
      </c>
      <c r="O18" s="43">
        <v>170732</v>
      </c>
      <c r="P18" s="43">
        <v>4730</v>
      </c>
      <c r="Q18" s="43">
        <v>21913</v>
      </c>
      <c r="R18" s="43">
        <v>0</v>
      </c>
      <c r="S18" s="39">
        <f>SUM(O18:R18)</f>
        <v>197375</v>
      </c>
      <c r="T18" s="41">
        <v>169470</v>
      </c>
      <c r="U18" s="43">
        <v>-4219</v>
      </c>
      <c r="V18" s="43">
        <v>22083</v>
      </c>
      <c r="W18" s="43">
        <v>0</v>
      </c>
      <c r="X18" s="39">
        <f t="shared" si="4"/>
        <v>187334</v>
      </c>
      <c r="Y18" s="41">
        <v>172504</v>
      </c>
      <c r="Z18" s="43">
        <v>43</v>
      </c>
      <c r="AA18" s="43">
        <v>21481</v>
      </c>
      <c r="AB18" s="43">
        <v>0</v>
      </c>
      <c r="AC18" s="39">
        <f t="shared" si="5"/>
        <v>194028</v>
      </c>
      <c r="AD18" s="41">
        <v>172018</v>
      </c>
      <c r="AE18" s="43">
        <v>515</v>
      </c>
      <c r="AF18" s="43">
        <v>21655</v>
      </c>
      <c r="AG18" s="43">
        <v>0</v>
      </c>
      <c r="AH18" s="39">
        <f t="shared" si="6"/>
        <v>194188</v>
      </c>
      <c r="AI18" s="41">
        <v>174780</v>
      </c>
      <c r="AJ18" s="43">
        <v>136</v>
      </c>
      <c r="AK18" s="43">
        <v>26745</v>
      </c>
      <c r="AL18" s="43">
        <v>0</v>
      </c>
      <c r="AM18" s="39">
        <f>SUM(AI18:AL18)</f>
        <v>201661</v>
      </c>
      <c r="AN18" s="41">
        <v>187413</v>
      </c>
      <c r="AO18" s="43">
        <v>723</v>
      </c>
      <c r="AP18" s="43">
        <v>17944</v>
      </c>
      <c r="AQ18" s="43">
        <v>0</v>
      </c>
      <c r="AR18" s="39">
        <f t="shared" si="1"/>
        <v>206080</v>
      </c>
      <c r="AS18" s="41">
        <v>180304</v>
      </c>
      <c r="AT18" s="43">
        <v>158</v>
      </c>
      <c r="AU18" s="43">
        <v>21921</v>
      </c>
      <c r="AV18" s="43">
        <v>0</v>
      </c>
      <c r="AW18" s="39">
        <f t="shared" si="8"/>
        <v>202383</v>
      </c>
      <c r="AX18" s="41">
        <v>204958</v>
      </c>
      <c r="AY18" s="43">
        <v>261</v>
      </c>
      <c r="AZ18" s="43">
        <v>23227</v>
      </c>
      <c r="BA18" s="43">
        <v>0</v>
      </c>
      <c r="BB18" s="39">
        <f t="shared" si="9"/>
        <v>228446</v>
      </c>
      <c r="BC18" s="41">
        <v>161062</v>
      </c>
      <c r="BD18" s="43">
        <v>102</v>
      </c>
      <c r="BE18" s="43">
        <v>23133</v>
      </c>
      <c r="BF18" s="43">
        <v>0</v>
      </c>
      <c r="BG18" s="39">
        <f t="shared" si="10"/>
        <v>184297</v>
      </c>
      <c r="BH18" s="41">
        <v>0</v>
      </c>
      <c r="BI18" s="43">
        <v>0</v>
      </c>
      <c r="BJ18" s="43">
        <v>0</v>
      </c>
      <c r="BK18" s="43">
        <v>0</v>
      </c>
      <c r="BL18" s="39">
        <f t="shared" si="11"/>
        <v>0</v>
      </c>
      <c r="BM18" s="41">
        <v>0</v>
      </c>
      <c r="BN18" s="43">
        <v>0</v>
      </c>
      <c r="BO18" s="43">
        <v>0</v>
      </c>
      <c r="BP18" s="43">
        <v>0</v>
      </c>
      <c r="BQ18" s="39">
        <f t="shared" si="12"/>
        <v>0</v>
      </c>
      <c r="BR18" s="41">
        <f t="shared" si="15"/>
        <v>1737773</v>
      </c>
      <c r="BS18" s="269">
        <f t="shared" si="13"/>
        <v>2524</v>
      </c>
      <c r="BT18" s="43">
        <f t="shared" si="13"/>
        <v>221713</v>
      </c>
      <c r="BU18" s="43">
        <f t="shared" si="13"/>
        <v>0</v>
      </c>
      <c r="BV18" s="41">
        <f t="shared" si="2"/>
        <v>1962010</v>
      </c>
      <c r="BW18" s="9"/>
      <c r="BX18" s="208"/>
      <c r="BY18" s="43"/>
      <c r="BZ18" s="43"/>
      <c r="CA18" s="43"/>
    </row>
    <row r="19" spans="1:80" x14ac:dyDescent="0.2">
      <c r="A19" s="202">
        <v>13</v>
      </c>
      <c r="B19" s="180" t="s">
        <v>260</v>
      </c>
      <c r="D19" s="204"/>
      <c r="E19" s="268">
        <v>151157</v>
      </c>
      <c r="F19" s="269">
        <v>87146</v>
      </c>
      <c r="G19" s="269">
        <v>2704</v>
      </c>
      <c r="H19" s="269">
        <v>381</v>
      </c>
      <c r="I19" s="39">
        <f t="shared" si="0"/>
        <v>241388</v>
      </c>
      <c r="J19" s="41">
        <v>12411</v>
      </c>
      <c r="K19" s="43">
        <v>7099</v>
      </c>
      <c r="L19" s="43">
        <v>38</v>
      </c>
      <c r="M19" s="43">
        <v>0</v>
      </c>
      <c r="N19" s="39">
        <f t="shared" si="14"/>
        <v>19548</v>
      </c>
      <c r="O19" s="43">
        <v>11788</v>
      </c>
      <c r="P19" s="43">
        <v>7098</v>
      </c>
      <c r="Q19" s="43">
        <v>20</v>
      </c>
      <c r="R19" s="43">
        <v>0</v>
      </c>
      <c r="S19" s="39">
        <f>SUM(O19:R19)</f>
        <v>18906</v>
      </c>
      <c r="T19" s="41">
        <v>14919</v>
      </c>
      <c r="U19" s="43">
        <v>7404</v>
      </c>
      <c r="V19" s="43">
        <v>41</v>
      </c>
      <c r="W19" s="43">
        <v>0</v>
      </c>
      <c r="X19" s="39">
        <f t="shared" si="4"/>
        <v>22364</v>
      </c>
      <c r="Y19" s="41">
        <v>11162</v>
      </c>
      <c r="Z19" s="43">
        <v>8233</v>
      </c>
      <c r="AA19" s="43">
        <v>116</v>
      </c>
      <c r="AB19" s="43">
        <v>0</v>
      </c>
      <c r="AC19" s="39">
        <f t="shared" si="5"/>
        <v>19511</v>
      </c>
      <c r="AD19" s="41">
        <v>12774</v>
      </c>
      <c r="AE19" s="43">
        <v>7131</v>
      </c>
      <c r="AF19" s="43">
        <v>480</v>
      </c>
      <c r="AG19" s="43">
        <v>0</v>
      </c>
      <c r="AH19" s="39">
        <f t="shared" si="6"/>
        <v>20385</v>
      </c>
      <c r="AI19" s="41">
        <v>11630</v>
      </c>
      <c r="AJ19" s="43">
        <v>7098</v>
      </c>
      <c r="AK19" s="43">
        <v>19</v>
      </c>
      <c r="AL19" s="43">
        <v>0</v>
      </c>
      <c r="AM19" s="39">
        <f t="shared" si="7"/>
        <v>18747</v>
      </c>
      <c r="AN19" s="41">
        <v>14968</v>
      </c>
      <c r="AO19" s="43">
        <v>7099</v>
      </c>
      <c r="AP19" s="43">
        <v>282</v>
      </c>
      <c r="AQ19" s="43">
        <v>0</v>
      </c>
      <c r="AR19" s="39">
        <f t="shared" si="1"/>
        <v>22349</v>
      </c>
      <c r="AS19" s="41">
        <v>16211</v>
      </c>
      <c r="AT19" s="43">
        <v>7419</v>
      </c>
      <c r="AU19" s="43">
        <v>264</v>
      </c>
      <c r="AV19" s="43">
        <v>0</v>
      </c>
      <c r="AW19" s="39">
        <f t="shared" si="8"/>
        <v>23894</v>
      </c>
      <c r="AX19" s="41">
        <v>11518</v>
      </c>
      <c r="AY19" s="43">
        <v>7098</v>
      </c>
      <c r="AZ19" s="43">
        <v>18</v>
      </c>
      <c r="BA19" s="43">
        <v>0</v>
      </c>
      <c r="BB19" s="39">
        <f t="shared" si="9"/>
        <v>18634</v>
      </c>
      <c r="BC19" s="41">
        <v>11049</v>
      </c>
      <c r="BD19" s="43">
        <v>7270</v>
      </c>
      <c r="BE19" s="43">
        <v>677</v>
      </c>
      <c r="BF19" s="43">
        <v>0</v>
      </c>
      <c r="BG19" s="39">
        <f t="shared" si="10"/>
        <v>18996</v>
      </c>
      <c r="BH19" s="41">
        <v>0</v>
      </c>
      <c r="BI19" s="43">
        <v>0</v>
      </c>
      <c r="BJ19" s="43">
        <v>0</v>
      </c>
      <c r="BK19" s="43">
        <v>0</v>
      </c>
      <c r="BL19" s="39">
        <f t="shared" si="11"/>
        <v>0</v>
      </c>
      <c r="BM19" s="41">
        <v>0</v>
      </c>
      <c r="BN19" s="43">
        <v>0</v>
      </c>
      <c r="BO19" s="43">
        <v>0</v>
      </c>
      <c r="BP19" s="43">
        <v>0</v>
      </c>
      <c r="BQ19" s="39">
        <f t="shared" si="12"/>
        <v>0</v>
      </c>
      <c r="BR19" s="41">
        <f t="shared" si="15"/>
        <v>128430</v>
      </c>
      <c r="BS19" s="269">
        <f t="shared" si="13"/>
        <v>72949</v>
      </c>
      <c r="BT19" s="43">
        <f t="shared" si="13"/>
        <v>1955</v>
      </c>
      <c r="BU19" s="43">
        <f t="shared" si="13"/>
        <v>0</v>
      </c>
      <c r="BV19" s="41">
        <f t="shared" si="2"/>
        <v>203334</v>
      </c>
      <c r="BW19" s="9"/>
      <c r="BX19" s="208"/>
    </row>
    <row r="20" spans="1:80" x14ac:dyDescent="0.2">
      <c r="A20" s="202">
        <v>14</v>
      </c>
      <c r="B20" s="203" t="s">
        <v>200</v>
      </c>
      <c r="D20" s="204"/>
      <c r="E20" s="268">
        <v>2528199</v>
      </c>
      <c r="F20" s="269">
        <v>20110535</v>
      </c>
      <c r="G20" s="269">
        <f>1212589</f>
        <v>1212589</v>
      </c>
      <c r="H20" s="269">
        <v>240</v>
      </c>
      <c r="I20" s="39">
        <f t="shared" si="0"/>
        <v>23851563</v>
      </c>
      <c r="J20" s="41">
        <v>79776</v>
      </c>
      <c r="K20" s="43">
        <v>3234436</v>
      </c>
      <c r="L20" s="43">
        <v>7750</v>
      </c>
      <c r="M20" s="43">
        <v>180</v>
      </c>
      <c r="N20" s="39">
        <f t="shared" si="14"/>
        <v>3322142</v>
      </c>
      <c r="O20" s="43">
        <v>83503</v>
      </c>
      <c r="P20" s="43">
        <v>3983819</v>
      </c>
      <c r="Q20" s="43">
        <v>69221</v>
      </c>
      <c r="R20" s="43">
        <v>5</v>
      </c>
      <c r="S20" s="39">
        <f>SUM(O20:R20)</f>
        <v>4136548</v>
      </c>
      <c r="T20" s="41">
        <v>93693</v>
      </c>
      <c r="U20" s="43">
        <v>690231</v>
      </c>
      <c r="V20" s="43">
        <v>65939</v>
      </c>
      <c r="W20" s="43">
        <v>1</v>
      </c>
      <c r="X20" s="39">
        <f t="shared" si="4"/>
        <v>849864</v>
      </c>
      <c r="Y20" s="41">
        <v>133545</v>
      </c>
      <c r="Z20" s="43">
        <v>1403599</v>
      </c>
      <c r="AA20" s="43">
        <v>81075</v>
      </c>
      <c r="AB20" s="43">
        <v>0</v>
      </c>
      <c r="AC20" s="39">
        <f t="shared" si="5"/>
        <v>1618219</v>
      </c>
      <c r="AD20" s="41">
        <v>495369</v>
      </c>
      <c r="AE20" s="43">
        <v>2653655</v>
      </c>
      <c r="AF20" s="43">
        <v>212268</v>
      </c>
      <c r="AG20" s="43">
        <v>0</v>
      </c>
      <c r="AH20" s="39">
        <f t="shared" si="6"/>
        <v>3361292</v>
      </c>
      <c r="AI20" s="41">
        <v>133519</v>
      </c>
      <c r="AJ20" s="43">
        <v>781681</v>
      </c>
      <c r="AK20" s="43">
        <v>113406</v>
      </c>
      <c r="AL20" s="43">
        <v>0</v>
      </c>
      <c r="AM20" s="39">
        <f t="shared" si="7"/>
        <v>1028606</v>
      </c>
      <c r="AN20" s="41">
        <v>136997</v>
      </c>
      <c r="AO20" s="43">
        <v>1212127</v>
      </c>
      <c r="AP20" s="43">
        <v>75971</v>
      </c>
      <c r="AQ20" s="43">
        <v>7</v>
      </c>
      <c r="AR20" s="39">
        <f t="shared" si="1"/>
        <v>1425102</v>
      </c>
      <c r="AS20" s="41">
        <v>566643</v>
      </c>
      <c r="AT20" s="43">
        <v>1929063</v>
      </c>
      <c r="AU20" s="43">
        <v>67182</v>
      </c>
      <c r="AV20" s="43">
        <v>41</v>
      </c>
      <c r="AW20" s="39">
        <f t="shared" si="8"/>
        <v>2562929</v>
      </c>
      <c r="AX20" s="41">
        <v>225581</v>
      </c>
      <c r="AY20" s="43">
        <v>581299</v>
      </c>
      <c r="AZ20" s="43">
        <v>156757</v>
      </c>
      <c r="BA20" s="43">
        <v>2</v>
      </c>
      <c r="BB20" s="39">
        <f t="shared" si="9"/>
        <v>963639</v>
      </c>
      <c r="BC20" s="41">
        <v>154667</v>
      </c>
      <c r="BD20" s="43">
        <v>3009243</v>
      </c>
      <c r="BE20" s="43">
        <v>113434</v>
      </c>
      <c r="BF20" s="43">
        <v>3</v>
      </c>
      <c r="BG20" s="39">
        <f t="shared" si="10"/>
        <v>3277347</v>
      </c>
      <c r="BH20" s="41">
        <v>0</v>
      </c>
      <c r="BI20" s="43">
        <v>0</v>
      </c>
      <c r="BJ20" s="43">
        <v>0</v>
      </c>
      <c r="BK20" s="43">
        <v>0</v>
      </c>
      <c r="BL20" s="39">
        <f t="shared" si="11"/>
        <v>0</v>
      </c>
      <c r="BM20" s="41">
        <v>0</v>
      </c>
      <c r="BN20" s="43">
        <v>0</v>
      </c>
      <c r="BO20" s="43">
        <v>0</v>
      </c>
      <c r="BP20" s="43">
        <v>0</v>
      </c>
      <c r="BQ20" s="39">
        <f t="shared" si="12"/>
        <v>0</v>
      </c>
      <c r="BR20" s="41">
        <f t="shared" si="15"/>
        <v>2103293</v>
      </c>
      <c r="BS20" s="269">
        <f t="shared" si="13"/>
        <v>19479153</v>
      </c>
      <c r="BT20" s="43">
        <f t="shared" si="13"/>
        <v>963003</v>
      </c>
      <c r="BU20" s="43">
        <f t="shared" si="13"/>
        <v>239</v>
      </c>
      <c r="BV20" s="41">
        <f t="shared" si="2"/>
        <v>22545688</v>
      </c>
      <c r="BW20" s="9"/>
      <c r="BX20" s="208"/>
      <c r="BY20" s="1"/>
      <c r="BZ20" s="1"/>
      <c r="CA20" s="1"/>
      <c r="CB20" s="1"/>
    </row>
    <row r="21" spans="1:80" x14ac:dyDescent="0.2">
      <c r="A21" s="202">
        <v>15</v>
      </c>
      <c r="B21" s="203" t="s">
        <v>201</v>
      </c>
      <c r="D21" s="209"/>
      <c r="E21" s="268">
        <v>9909400</v>
      </c>
      <c r="F21" s="269">
        <f>97177311-18283844</f>
        <v>78893467</v>
      </c>
      <c r="G21" s="269">
        <v>7926</v>
      </c>
      <c r="H21" s="269">
        <v>1661</v>
      </c>
      <c r="I21" s="39">
        <f t="shared" si="0"/>
        <v>88812454</v>
      </c>
      <c r="J21" s="41">
        <v>762757</v>
      </c>
      <c r="K21" s="43">
        <v>19038631</v>
      </c>
      <c r="L21" s="43">
        <v>780</v>
      </c>
      <c r="M21" s="43">
        <v>1</v>
      </c>
      <c r="N21" s="39">
        <f t="shared" si="14"/>
        <v>19802169</v>
      </c>
      <c r="O21" s="43">
        <v>715486</v>
      </c>
      <c r="P21" s="43">
        <v>8936316</v>
      </c>
      <c r="Q21" s="43">
        <v>248</v>
      </c>
      <c r="R21" s="43">
        <v>1</v>
      </c>
      <c r="S21" s="39">
        <f t="shared" ref="S21:S27" si="16">SUM(O21:R21)</f>
        <v>9652051</v>
      </c>
      <c r="T21" s="41">
        <v>775576</v>
      </c>
      <c r="U21" s="43">
        <v>10765997</v>
      </c>
      <c r="V21" s="43">
        <v>132</v>
      </c>
      <c r="W21" s="43">
        <v>0</v>
      </c>
      <c r="X21" s="39">
        <f t="shared" si="4"/>
        <v>11541705</v>
      </c>
      <c r="Y21" s="41">
        <v>760051</v>
      </c>
      <c r="Z21" s="43">
        <v>4154468</v>
      </c>
      <c r="AA21" s="43">
        <v>426</v>
      </c>
      <c r="AB21" s="43">
        <v>3</v>
      </c>
      <c r="AC21" s="39">
        <f t="shared" si="5"/>
        <v>4914948</v>
      </c>
      <c r="AD21" s="41">
        <v>797538</v>
      </c>
      <c r="AE21" s="43">
        <v>11187843</v>
      </c>
      <c r="AF21" s="43">
        <v>381</v>
      </c>
      <c r="AG21" s="43">
        <v>0</v>
      </c>
      <c r="AH21" s="39">
        <f t="shared" si="6"/>
        <v>11985762</v>
      </c>
      <c r="AI21" s="41">
        <v>844326</v>
      </c>
      <c r="AJ21" s="43">
        <v>4765797</v>
      </c>
      <c r="AK21" s="43">
        <v>96</v>
      </c>
      <c r="AL21" s="43">
        <v>0</v>
      </c>
      <c r="AM21" s="39">
        <f t="shared" si="7"/>
        <v>5610219</v>
      </c>
      <c r="AN21" s="41">
        <v>790057</v>
      </c>
      <c r="AO21" s="43">
        <v>11882605</v>
      </c>
      <c r="AP21" s="43">
        <v>3002</v>
      </c>
      <c r="AQ21" s="43">
        <v>0</v>
      </c>
      <c r="AR21" s="39">
        <f t="shared" si="1"/>
        <v>12675664</v>
      </c>
      <c r="AS21" s="41">
        <v>855423</v>
      </c>
      <c r="AT21" s="43">
        <v>2992682</v>
      </c>
      <c r="AU21" s="43">
        <v>194</v>
      </c>
      <c r="AV21" s="43">
        <v>0</v>
      </c>
      <c r="AW21" s="39">
        <f t="shared" si="8"/>
        <v>3848299</v>
      </c>
      <c r="AX21" s="41">
        <v>798931</v>
      </c>
      <c r="AY21" s="43">
        <v>201864</v>
      </c>
      <c r="AZ21" s="43">
        <v>255</v>
      </c>
      <c r="BA21" s="43">
        <v>0</v>
      </c>
      <c r="BB21" s="39">
        <f t="shared" si="9"/>
        <v>1001050</v>
      </c>
      <c r="BC21" s="41">
        <v>744629</v>
      </c>
      <c r="BD21" s="43">
        <v>1425649</v>
      </c>
      <c r="BE21" s="43">
        <v>150</v>
      </c>
      <c r="BF21" s="43">
        <v>0</v>
      </c>
      <c r="BG21" s="39">
        <f t="shared" si="10"/>
        <v>2170428</v>
      </c>
      <c r="BH21" s="41">
        <v>0</v>
      </c>
      <c r="BI21" s="43">
        <v>0</v>
      </c>
      <c r="BJ21" s="43">
        <v>0</v>
      </c>
      <c r="BK21" s="43">
        <v>0</v>
      </c>
      <c r="BL21" s="39">
        <f t="shared" si="11"/>
        <v>0</v>
      </c>
      <c r="BM21" s="41">
        <v>0</v>
      </c>
      <c r="BN21" s="43">
        <v>0</v>
      </c>
      <c r="BO21" s="43">
        <v>0</v>
      </c>
      <c r="BP21" s="43">
        <v>0</v>
      </c>
      <c r="BQ21" s="39">
        <f t="shared" si="12"/>
        <v>0</v>
      </c>
      <c r="BR21" s="41">
        <f t="shared" si="15"/>
        <v>7844774</v>
      </c>
      <c r="BS21" s="269">
        <f t="shared" si="13"/>
        <v>75351852</v>
      </c>
      <c r="BT21" s="43">
        <f t="shared" si="13"/>
        <v>5664</v>
      </c>
      <c r="BU21" s="43">
        <f t="shared" si="13"/>
        <v>5</v>
      </c>
      <c r="BV21" s="41">
        <f t="shared" si="2"/>
        <v>83202295</v>
      </c>
      <c r="BW21" s="9"/>
      <c r="BX21" s="208"/>
      <c r="BY21" s="1"/>
    </row>
    <row r="22" spans="1:80" x14ac:dyDescent="0.2">
      <c r="A22" s="202">
        <v>16</v>
      </c>
      <c r="B22" s="203" t="s">
        <v>202</v>
      </c>
      <c r="D22" s="204"/>
      <c r="E22" s="268">
        <v>2114769</v>
      </c>
      <c r="F22" s="269">
        <v>47863455</v>
      </c>
      <c r="G22" s="269">
        <v>794547</v>
      </c>
      <c r="H22" s="269">
        <v>0</v>
      </c>
      <c r="I22" s="39">
        <f t="shared" si="0"/>
        <v>50772771</v>
      </c>
      <c r="J22" s="41">
        <v>97182</v>
      </c>
      <c r="K22" s="43">
        <v>5527538</v>
      </c>
      <c r="L22" s="43">
        <v>1585</v>
      </c>
      <c r="M22" s="43">
        <v>0</v>
      </c>
      <c r="N22" s="39">
        <f t="shared" si="14"/>
        <v>5626305</v>
      </c>
      <c r="O22" s="43">
        <v>111121</v>
      </c>
      <c r="P22" s="43">
        <v>3249197</v>
      </c>
      <c r="Q22" s="43">
        <v>14590</v>
      </c>
      <c r="R22" s="43">
        <v>0</v>
      </c>
      <c r="S22" s="39">
        <f t="shared" si="16"/>
        <v>3374908</v>
      </c>
      <c r="T22" s="41">
        <v>130668</v>
      </c>
      <c r="U22" s="43">
        <v>3289852</v>
      </c>
      <c r="V22" s="43">
        <v>53737</v>
      </c>
      <c r="W22" s="43">
        <v>0</v>
      </c>
      <c r="X22" s="39">
        <f t="shared" si="4"/>
        <v>3474257</v>
      </c>
      <c r="Y22" s="41">
        <v>174782</v>
      </c>
      <c r="Z22" s="43">
        <v>5294934</v>
      </c>
      <c r="AA22" s="43">
        <v>77787</v>
      </c>
      <c r="AB22" s="43">
        <v>0</v>
      </c>
      <c r="AC22" s="39">
        <f t="shared" si="5"/>
        <v>5547503</v>
      </c>
      <c r="AD22" s="41">
        <v>158079</v>
      </c>
      <c r="AE22" s="43">
        <v>3248753</v>
      </c>
      <c r="AF22" s="43">
        <v>64015</v>
      </c>
      <c r="AG22" s="43">
        <v>0</v>
      </c>
      <c r="AH22" s="39">
        <f t="shared" si="6"/>
        <v>3470847</v>
      </c>
      <c r="AI22" s="41">
        <v>207339</v>
      </c>
      <c r="AJ22" s="43">
        <v>3267348</v>
      </c>
      <c r="AK22" s="43">
        <v>28763</v>
      </c>
      <c r="AL22" s="43">
        <v>0</v>
      </c>
      <c r="AM22" s="39">
        <f t="shared" si="7"/>
        <v>3503450</v>
      </c>
      <c r="AN22" s="41">
        <v>139336</v>
      </c>
      <c r="AO22" s="43">
        <v>5290237</v>
      </c>
      <c r="AP22" s="43">
        <v>87604</v>
      </c>
      <c r="AQ22" s="43">
        <v>0</v>
      </c>
      <c r="AR22" s="39">
        <f t="shared" si="1"/>
        <v>5517177</v>
      </c>
      <c r="AS22" s="41">
        <v>188159</v>
      </c>
      <c r="AT22" s="43">
        <v>3254104</v>
      </c>
      <c r="AU22" s="43">
        <v>58013</v>
      </c>
      <c r="AV22" s="43">
        <v>0</v>
      </c>
      <c r="AW22" s="39">
        <f t="shared" si="8"/>
        <v>3500276</v>
      </c>
      <c r="AX22" s="41">
        <v>163240</v>
      </c>
      <c r="AY22" s="43">
        <v>3261642</v>
      </c>
      <c r="AZ22" s="43">
        <v>72205</v>
      </c>
      <c r="BA22" s="43">
        <v>0</v>
      </c>
      <c r="BB22" s="39">
        <f t="shared" si="9"/>
        <v>3497087</v>
      </c>
      <c r="BC22" s="41">
        <v>164854</v>
      </c>
      <c r="BD22" s="43">
        <v>5057839</v>
      </c>
      <c r="BE22" s="43">
        <v>89935</v>
      </c>
      <c r="BF22" s="43">
        <v>0</v>
      </c>
      <c r="BG22" s="39">
        <f t="shared" si="10"/>
        <v>5312628</v>
      </c>
      <c r="BH22" s="41">
        <v>0</v>
      </c>
      <c r="BI22" s="43">
        <v>0</v>
      </c>
      <c r="BJ22" s="43">
        <v>0</v>
      </c>
      <c r="BK22" s="43">
        <v>0</v>
      </c>
      <c r="BL22" s="39">
        <f t="shared" si="11"/>
        <v>0</v>
      </c>
      <c r="BM22" s="41">
        <v>0</v>
      </c>
      <c r="BN22" s="43">
        <v>0</v>
      </c>
      <c r="BO22" s="43">
        <v>0</v>
      </c>
      <c r="BP22" s="43">
        <v>0</v>
      </c>
      <c r="BQ22" s="39">
        <f t="shared" si="12"/>
        <v>0</v>
      </c>
      <c r="BR22" s="41">
        <f t="shared" si="15"/>
        <v>1534760</v>
      </c>
      <c r="BS22" s="269">
        <f t="shared" si="13"/>
        <v>40741444</v>
      </c>
      <c r="BT22" s="43">
        <f t="shared" si="13"/>
        <v>548234</v>
      </c>
      <c r="BU22" s="43">
        <f t="shared" si="13"/>
        <v>0</v>
      </c>
      <c r="BV22" s="41">
        <f t="shared" si="2"/>
        <v>42824438</v>
      </c>
      <c r="BW22" s="9"/>
      <c r="BX22" s="208"/>
    </row>
    <row r="23" spans="1:80" x14ac:dyDescent="0.2">
      <c r="A23" s="211">
        <v>17</v>
      </c>
      <c r="B23" s="212" t="s">
        <v>203</v>
      </c>
      <c r="D23" s="214"/>
      <c r="E23" s="268">
        <v>902874</v>
      </c>
      <c r="F23" s="269">
        <v>198571699</v>
      </c>
      <c r="G23" s="269">
        <f>7430-166</f>
        <v>7264</v>
      </c>
      <c r="H23" s="269">
        <v>248539</v>
      </c>
      <c r="I23" s="39">
        <f t="shared" si="0"/>
        <v>199730376</v>
      </c>
      <c r="J23" s="41">
        <v>52234</v>
      </c>
      <c r="K23" s="43">
        <v>14985759</v>
      </c>
      <c r="L23" s="43">
        <v>131</v>
      </c>
      <c r="M23" s="43">
        <v>0</v>
      </c>
      <c r="N23" s="39">
        <f t="shared" si="14"/>
        <v>15038124</v>
      </c>
      <c r="O23" s="43">
        <v>55199</v>
      </c>
      <c r="P23" s="43">
        <v>15008444</v>
      </c>
      <c r="Q23" s="43">
        <v>215</v>
      </c>
      <c r="R23" s="43">
        <v>0</v>
      </c>
      <c r="S23" s="39">
        <f t="shared" si="16"/>
        <v>15063858</v>
      </c>
      <c r="T23" s="41">
        <v>71414</v>
      </c>
      <c r="U23" s="43">
        <v>14567398</v>
      </c>
      <c r="V23" s="43">
        <v>117</v>
      </c>
      <c r="W23" s="43">
        <v>0</v>
      </c>
      <c r="X23" s="39">
        <f t="shared" si="4"/>
        <v>14638929</v>
      </c>
      <c r="Y23" s="41">
        <v>71573</v>
      </c>
      <c r="Z23" s="43">
        <v>15807991</v>
      </c>
      <c r="AA23" s="43">
        <v>328</v>
      </c>
      <c r="AB23" s="43">
        <v>0</v>
      </c>
      <c r="AC23" s="39">
        <f t="shared" si="5"/>
        <v>15879892</v>
      </c>
      <c r="AD23" s="41">
        <v>68321</v>
      </c>
      <c r="AE23" s="43">
        <v>15130117</v>
      </c>
      <c r="AF23" s="43">
        <v>241</v>
      </c>
      <c r="AG23" s="43">
        <v>0</v>
      </c>
      <c r="AH23" s="39">
        <f t="shared" si="6"/>
        <v>15198679</v>
      </c>
      <c r="AI23" s="41">
        <v>62641</v>
      </c>
      <c r="AJ23" s="43">
        <v>15194011</v>
      </c>
      <c r="AK23" s="43">
        <v>623</v>
      </c>
      <c r="AL23" s="43">
        <v>0</v>
      </c>
      <c r="AM23" s="39">
        <f t="shared" si="7"/>
        <v>15257275</v>
      </c>
      <c r="AN23" s="41">
        <v>66836</v>
      </c>
      <c r="AO23" s="43">
        <v>15440254</v>
      </c>
      <c r="AP23" s="43">
        <v>452</v>
      </c>
      <c r="AQ23" s="43">
        <v>0</v>
      </c>
      <c r="AR23" s="39">
        <f t="shared" si="1"/>
        <v>15507542</v>
      </c>
      <c r="AS23" s="41">
        <v>69086</v>
      </c>
      <c r="AT23" s="43">
        <v>15536262</v>
      </c>
      <c r="AU23" s="43">
        <v>292</v>
      </c>
      <c r="AV23" s="43">
        <v>0</v>
      </c>
      <c r="AW23" s="39">
        <f t="shared" si="8"/>
        <v>15605640</v>
      </c>
      <c r="AX23" s="41">
        <v>87995</v>
      </c>
      <c r="AY23" s="43">
        <v>15357143</v>
      </c>
      <c r="AZ23" s="43">
        <v>226</v>
      </c>
      <c r="BA23" s="43">
        <v>0</v>
      </c>
      <c r="BB23" s="39">
        <f t="shared" si="9"/>
        <v>15445364</v>
      </c>
      <c r="BC23" s="41">
        <v>71019</v>
      </c>
      <c r="BD23" s="43">
        <v>15488068</v>
      </c>
      <c r="BE23" s="43">
        <v>853</v>
      </c>
      <c r="BF23" s="43">
        <v>0</v>
      </c>
      <c r="BG23" s="39">
        <f t="shared" si="10"/>
        <v>15559940</v>
      </c>
      <c r="BH23" s="41">
        <v>0</v>
      </c>
      <c r="BI23" s="43">
        <v>0</v>
      </c>
      <c r="BJ23" s="43">
        <v>0</v>
      </c>
      <c r="BK23" s="43">
        <v>0</v>
      </c>
      <c r="BL23" s="39">
        <f t="shared" si="11"/>
        <v>0</v>
      </c>
      <c r="BM23" s="41">
        <v>0</v>
      </c>
      <c r="BN23" s="43">
        <v>0</v>
      </c>
      <c r="BO23" s="43">
        <v>0</v>
      </c>
      <c r="BP23" s="43">
        <v>0</v>
      </c>
      <c r="BQ23" s="39">
        <f t="shared" si="12"/>
        <v>0</v>
      </c>
      <c r="BR23" s="41">
        <f t="shared" si="15"/>
        <v>676318</v>
      </c>
      <c r="BS23" s="269">
        <f t="shared" si="13"/>
        <v>152515447</v>
      </c>
      <c r="BT23" s="43">
        <f t="shared" si="13"/>
        <v>3478</v>
      </c>
      <c r="BU23" s="43">
        <f t="shared" si="13"/>
        <v>0</v>
      </c>
      <c r="BV23" s="41">
        <f t="shared" si="2"/>
        <v>153195243</v>
      </c>
      <c r="BW23" s="9"/>
      <c r="BX23" s="208"/>
    </row>
    <row r="24" spans="1:80" x14ac:dyDescent="0.2">
      <c r="A24" s="202">
        <v>18</v>
      </c>
      <c r="B24" s="203" t="s">
        <v>206</v>
      </c>
      <c r="D24" s="204"/>
      <c r="E24" s="268">
        <v>23783415</v>
      </c>
      <c r="F24" s="269">
        <v>877957</v>
      </c>
      <c r="G24" s="269">
        <v>515439</v>
      </c>
      <c r="H24" s="269">
        <v>9335</v>
      </c>
      <c r="I24" s="39">
        <f t="shared" si="0"/>
        <v>25186146</v>
      </c>
      <c r="J24" s="41">
        <v>1539111</v>
      </c>
      <c r="K24" s="43">
        <v>44796</v>
      </c>
      <c r="L24" s="43">
        <v>31904</v>
      </c>
      <c r="M24" s="43">
        <v>599</v>
      </c>
      <c r="N24" s="39">
        <f t="shared" si="14"/>
        <v>1616410</v>
      </c>
      <c r="O24" s="43">
        <v>1840776</v>
      </c>
      <c r="P24" s="43">
        <v>49396</v>
      </c>
      <c r="Q24" s="43">
        <v>4802</v>
      </c>
      <c r="R24" s="43">
        <v>0</v>
      </c>
      <c r="S24" s="39">
        <f t="shared" si="16"/>
        <v>1894974</v>
      </c>
      <c r="T24" s="41">
        <v>1748453</v>
      </c>
      <c r="U24" s="43">
        <v>9065</v>
      </c>
      <c r="V24" s="43">
        <v>14344</v>
      </c>
      <c r="W24" s="43">
        <v>-599</v>
      </c>
      <c r="X24" s="39">
        <f t="shared" si="4"/>
        <v>1771263</v>
      </c>
      <c r="Y24" s="41">
        <v>1738280</v>
      </c>
      <c r="Z24" s="43">
        <v>52855</v>
      </c>
      <c r="AA24" s="43">
        <v>7422</v>
      </c>
      <c r="AB24" s="43">
        <v>0</v>
      </c>
      <c r="AC24" s="39">
        <f t="shared" si="5"/>
        <v>1798557</v>
      </c>
      <c r="AD24" s="41">
        <v>1929944</v>
      </c>
      <c r="AE24" s="43">
        <v>86830</v>
      </c>
      <c r="AF24" s="43">
        <v>22188</v>
      </c>
      <c r="AG24" s="43">
        <v>0</v>
      </c>
      <c r="AH24" s="39">
        <f t="shared" si="6"/>
        <v>2038962</v>
      </c>
      <c r="AI24" s="41">
        <v>2156686</v>
      </c>
      <c r="AJ24" s="43">
        <v>46091</v>
      </c>
      <c r="AK24" s="43">
        <v>61013</v>
      </c>
      <c r="AL24" s="43">
        <v>0</v>
      </c>
      <c r="AM24" s="39">
        <f t="shared" si="7"/>
        <v>2263790</v>
      </c>
      <c r="AN24" s="41">
        <v>1959084</v>
      </c>
      <c r="AO24" s="43">
        <v>54195</v>
      </c>
      <c r="AP24" s="43">
        <v>-26875</v>
      </c>
      <c r="AQ24" s="43">
        <v>0</v>
      </c>
      <c r="AR24" s="39">
        <f t="shared" si="1"/>
        <v>1986404</v>
      </c>
      <c r="AS24" s="41">
        <v>2158851</v>
      </c>
      <c r="AT24" s="43">
        <v>12826</v>
      </c>
      <c r="AU24" s="43">
        <v>23394</v>
      </c>
      <c r="AV24" s="43">
        <v>0</v>
      </c>
      <c r="AW24" s="39">
        <f t="shared" si="8"/>
        <v>2195071</v>
      </c>
      <c r="AX24" s="41">
        <v>1927133</v>
      </c>
      <c r="AY24" s="43">
        <v>81830</v>
      </c>
      <c r="AZ24" s="43">
        <v>221099</v>
      </c>
      <c r="BA24" s="43">
        <v>0</v>
      </c>
      <c r="BB24" s="39">
        <f t="shared" si="9"/>
        <v>2230062</v>
      </c>
      <c r="BC24" s="41">
        <v>1836620</v>
      </c>
      <c r="BD24" s="43">
        <v>52822</v>
      </c>
      <c r="BE24" s="43">
        <v>-9546</v>
      </c>
      <c r="BF24" s="43">
        <v>0</v>
      </c>
      <c r="BG24" s="39">
        <f t="shared" si="10"/>
        <v>1879896</v>
      </c>
      <c r="BH24" s="41">
        <v>0</v>
      </c>
      <c r="BI24" s="43">
        <v>0</v>
      </c>
      <c r="BJ24" s="43">
        <v>0</v>
      </c>
      <c r="BK24" s="43">
        <v>0</v>
      </c>
      <c r="BL24" s="39">
        <f t="shared" si="11"/>
        <v>0</v>
      </c>
      <c r="BM24" s="41">
        <v>0</v>
      </c>
      <c r="BN24" s="43">
        <v>0</v>
      </c>
      <c r="BO24" s="43">
        <v>0</v>
      </c>
      <c r="BP24" s="43">
        <v>0</v>
      </c>
      <c r="BQ24" s="39">
        <f>SUM(BM24:BP24)</f>
        <v>0</v>
      </c>
      <c r="BR24" s="41">
        <f t="shared" si="15"/>
        <v>18834938</v>
      </c>
      <c r="BS24" s="269">
        <f t="shared" si="15"/>
        <v>490706</v>
      </c>
      <c r="BT24" s="43">
        <f t="shared" si="15"/>
        <v>349745</v>
      </c>
      <c r="BU24" s="43">
        <f t="shared" si="15"/>
        <v>0</v>
      </c>
      <c r="BV24" s="41">
        <f t="shared" si="2"/>
        <v>19675389</v>
      </c>
      <c r="BW24" s="9"/>
      <c r="BX24" s="208"/>
    </row>
    <row r="25" spans="1:80" x14ac:dyDescent="0.2">
      <c r="A25" s="202">
        <v>19</v>
      </c>
      <c r="B25" s="203" t="s">
        <v>261</v>
      </c>
      <c r="D25" s="215"/>
      <c r="E25" s="268">
        <v>42763210</v>
      </c>
      <c r="F25" s="269">
        <v>6674370</v>
      </c>
      <c r="G25" s="269">
        <v>1417666</v>
      </c>
      <c r="H25" s="269">
        <v>27011</v>
      </c>
      <c r="I25" s="39">
        <f t="shared" si="0"/>
        <v>50882257</v>
      </c>
      <c r="J25" s="41">
        <v>2735310</v>
      </c>
      <c r="K25" s="43">
        <v>342471</v>
      </c>
      <c r="L25" s="43">
        <v>43383</v>
      </c>
      <c r="M25" s="43">
        <v>0</v>
      </c>
      <c r="N25" s="39">
        <f t="shared" si="14"/>
        <v>3121164</v>
      </c>
      <c r="O25" s="43">
        <v>3565541</v>
      </c>
      <c r="P25" s="43">
        <v>831702</v>
      </c>
      <c r="Q25" s="43">
        <v>149417</v>
      </c>
      <c r="R25" s="43">
        <v>0</v>
      </c>
      <c r="S25" s="39">
        <f t="shared" si="16"/>
        <v>4546660</v>
      </c>
      <c r="T25" s="41">
        <v>3527797</v>
      </c>
      <c r="U25" s="43">
        <v>495850</v>
      </c>
      <c r="V25" s="43">
        <v>21837</v>
      </c>
      <c r="W25" s="43">
        <v>0</v>
      </c>
      <c r="X25" s="39">
        <f t="shared" si="4"/>
        <v>4045484</v>
      </c>
      <c r="Y25" s="41">
        <v>3692128</v>
      </c>
      <c r="Z25" s="43">
        <v>781446</v>
      </c>
      <c r="AA25" s="43">
        <v>48763</v>
      </c>
      <c r="AB25" s="43">
        <v>0</v>
      </c>
      <c r="AC25" s="39">
        <f t="shared" si="5"/>
        <v>4522337</v>
      </c>
      <c r="AD25" s="41">
        <v>3549026</v>
      </c>
      <c r="AE25" s="43">
        <v>454941</v>
      </c>
      <c r="AF25" s="43">
        <v>84076</v>
      </c>
      <c r="AG25" s="43">
        <v>0</v>
      </c>
      <c r="AH25" s="39">
        <f t="shared" si="6"/>
        <v>4088043</v>
      </c>
      <c r="AI25" s="41">
        <v>3337918</v>
      </c>
      <c r="AJ25" s="43">
        <v>485673</v>
      </c>
      <c r="AK25" s="43">
        <v>126998</v>
      </c>
      <c r="AL25" s="43">
        <v>0</v>
      </c>
      <c r="AM25" s="39">
        <f t="shared" si="7"/>
        <v>3950589</v>
      </c>
      <c r="AN25" s="41">
        <v>3977863</v>
      </c>
      <c r="AO25" s="43">
        <v>828489</v>
      </c>
      <c r="AP25" s="43">
        <v>31045</v>
      </c>
      <c r="AQ25" s="43">
        <v>0</v>
      </c>
      <c r="AR25" s="39">
        <f t="shared" si="1"/>
        <v>4837397</v>
      </c>
      <c r="AS25" s="41">
        <v>3404449</v>
      </c>
      <c r="AT25" s="43">
        <v>503949</v>
      </c>
      <c r="AU25" s="43">
        <v>73715</v>
      </c>
      <c r="AV25" s="43">
        <v>0</v>
      </c>
      <c r="AW25" s="39">
        <f t="shared" si="8"/>
        <v>3982113</v>
      </c>
      <c r="AX25" s="41">
        <v>2993100</v>
      </c>
      <c r="AY25" s="43">
        <v>602865</v>
      </c>
      <c r="AZ25" s="43">
        <v>147861</v>
      </c>
      <c r="BA25" s="43">
        <v>0</v>
      </c>
      <c r="BB25" s="39">
        <f t="shared" si="9"/>
        <v>3743826</v>
      </c>
      <c r="BC25" s="41">
        <v>3947413</v>
      </c>
      <c r="BD25" s="43">
        <v>942508</v>
      </c>
      <c r="BE25" s="43">
        <v>104728</v>
      </c>
      <c r="BF25" s="43">
        <v>0</v>
      </c>
      <c r="BG25" s="39">
        <f t="shared" si="10"/>
        <v>4994649</v>
      </c>
      <c r="BH25" s="41">
        <v>0</v>
      </c>
      <c r="BI25" s="43">
        <v>0</v>
      </c>
      <c r="BJ25" s="43">
        <v>0</v>
      </c>
      <c r="BK25" s="43">
        <v>0</v>
      </c>
      <c r="BL25" s="39">
        <f t="shared" si="11"/>
        <v>0</v>
      </c>
      <c r="BM25" s="41">
        <v>0</v>
      </c>
      <c r="BN25" s="43">
        <v>0</v>
      </c>
      <c r="BO25" s="43">
        <v>0</v>
      </c>
      <c r="BP25" s="43">
        <v>0</v>
      </c>
      <c r="BQ25" s="39">
        <f t="shared" si="12"/>
        <v>0</v>
      </c>
      <c r="BR25" s="41">
        <f t="shared" si="15"/>
        <v>34730545</v>
      </c>
      <c r="BS25" s="269">
        <f t="shared" si="15"/>
        <v>6269894</v>
      </c>
      <c r="BT25" s="43">
        <f t="shared" si="15"/>
        <v>831823</v>
      </c>
      <c r="BU25" s="43">
        <f t="shared" si="15"/>
        <v>0</v>
      </c>
      <c r="BV25" s="41">
        <f t="shared" si="2"/>
        <v>41832262</v>
      </c>
      <c r="BW25" s="9"/>
      <c r="BX25" s="208"/>
    </row>
    <row r="26" spans="1:80" x14ac:dyDescent="0.2">
      <c r="A26" s="202">
        <v>20</v>
      </c>
      <c r="B26" s="203" t="s">
        <v>208</v>
      </c>
      <c r="D26" s="204"/>
      <c r="E26" s="268">
        <v>332584</v>
      </c>
      <c r="F26" s="269">
        <v>1670</v>
      </c>
      <c r="G26" s="269">
        <v>2356</v>
      </c>
      <c r="H26" s="269">
        <v>0</v>
      </c>
      <c r="I26" s="39">
        <f t="shared" si="0"/>
        <v>336610</v>
      </c>
      <c r="J26" s="41">
        <v>24834</v>
      </c>
      <c r="K26" s="43">
        <v>35</v>
      </c>
      <c r="L26" s="43">
        <v>24</v>
      </c>
      <c r="M26" s="43">
        <v>0</v>
      </c>
      <c r="N26" s="39">
        <f t="shared" si="14"/>
        <v>24893</v>
      </c>
      <c r="O26" s="43">
        <v>21484</v>
      </c>
      <c r="P26" s="43">
        <v>49</v>
      </c>
      <c r="Q26" s="43">
        <v>6</v>
      </c>
      <c r="R26" s="43">
        <v>0</v>
      </c>
      <c r="S26" s="39">
        <f t="shared" si="16"/>
        <v>21539</v>
      </c>
      <c r="T26" s="41">
        <v>21968</v>
      </c>
      <c r="U26" s="43">
        <v>1</v>
      </c>
      <c r="V26" s="43">
        <v>0</v>
      </c>
      <c r="W26" s="43">
        <v>0</v>
      </c>
      <c r="X26" s="39">
        <f t="shared" si="4"/>
        <v>21969</v>
      </c>
      <c r="Y26" s="41">
        <v>22983</v>
      </c>
      <c r="Z26" s="43">
        <v>162</v>
      </c>
      <c r="AA26" s="43">
        <v>0</v>
      </c>
      <c r="AB26" s="43">
        <v>0</v>
      </c>
      <c r="AC26" s="39">
        <f t="shared" si="5"/>
        <v>23145</v>
      </c>
      <c r="AD26" s="41">
        <v>24384</v>
      </c>
      <c r="AE26" s="43">
        <v>788</v>
      </c>
      <c r="AF26" s="43">
        <v>795</v>
      </c>
      <c r="AG26" s="43">
        <v>0</v>
      </c>
      <c r="AH26" s="39">
        <f t="shared" si="6"/>
        <v>25967</v>
      </c>
      <c r="AI26" s="41">
        <v>26851</v>
      </c>
      <c r="AJ26" s="43">
        <v>28</v>
      </c>
      <c r="AK26" s="43">
        <v>672</v>
      </c>
      <c r="AL26" s="43">
        <v>0</v>
      </c>
      <c r="AM26" s="39">
        <f t="shared" si="7"/>
        <v>27551</v>
      </c>
      <c r="AN26" s="41">
        <v>23826</v>
      </c>
      <c r="AO26" s="43">
        <v>46</v>
      </c>
      <c r="AP26" s="43">
        <v>37</v>
      </c>
      <c r="AQ26" s="43">
        <v>0</v>
      </c>
      <c r="AR26" s="39">
        <f t="shared" si="1"/>
        <v>23909</v>
      </c>
      <c r="AS26" s="41">
        <v>21510</v>
      </c>
      <c r="AT26" s="43">
        <v>9</v>
      </c>
      <c r="AU26" s="43">
        <v>0</v>
      </c>
      <c r="AV26" s="43">
        <v>0</v>
      </c>
      <c r="AW26" s="39">
        <f t="shared" si="8"/>
        <v>21519</v>
      </c>
      <c r="AX26" s="41">
        <v>22274</v>
      </c>
      <c r="AY26" s="43">
        <v>7</v>
      </c>
      <c r="AZ26" s="43">
        <v>0</v>
      </c>
      <c r="BA26" s="43">
        <v>0</v>
      </c>
      <c r="BB26" s="39">
        <f t="shared" si="9"/>
        <v>22281</v>
      </c>
      <c r="BC26" s="41">
        <v>21339</v>
      </c>
      <c r="BD26" s="43">
        <v>11</v>
      </c>
      <c r="BE26" s="43">
        <v>554</v>
      </c>
      <c r="BF26" s="43">
        <v>0</v>
      </c>
      <c r="BG26" s="39">
        <f t="shared" si="10"/>
        <v>21904</v>
      </c>
      <c r="BH26" s="41">
        <v>0</v>
      </c>
      <c r="BI26" s="43">
        <v>0</v>
      </c>
      <c r="BJ26" s="43">
        <v>0</v>
      </c>
      <c r="BK26" s="43">
        <v>0</v>
      </c>
      <c r="BL26" s="39">
        <f t="shared" si="11"/>
        <v>0</v>
      </c>
      <c r="BM26" s="41">
        <v>0</v>
      </c>
      <c r="BN26" s="43">
        <v>0</v>
      </c>
      <c r="BO26" s="43">
        <v>0</v>
      </c>
      <c r="BP26" s="43">
        <v>0</v>
      </c>
      <c r="BQ26" s="39">
        <f t="shared" si="12"/>
        <v>0</v>
      </c>
      <c r="BR26" s="41">
        <f t="shared" si="15"/>
        <v>231453</v>
      </c>
      <c r="BS26" s="269">
        <f t="shared" si="15"/>
        <v>1136</v>
      </c>
      <c r="BT26" s="43">
        <f t="shared" si="15"/>
        <v>2088</v>
      </c>
      <c r="BU26" s="43">
        <f t="shared" si="15"/>
        <v>0</v>
      </c>
      <c r="BV26" s="41">
        <f t="shared" si="2"/>
        <v>234677</v>
      </c>
      <c r="BW26" s="9"/>
      <c r="BX26" s="208"/>
    </row>
    <row r="27" spans="1:80" x14ac:dyDescent="0.2">
      <c r="A27" s="202">
        <v>21</v>
      </c>
      <c r="B27" s="203" t="s">
        <v>209</v>
      </c>
      <c r="D27" s="204"/>
      <c r="E27" s="268">
        <f>16764086-88277-2076720</f>
        <v>14599089</v>
      </c>
      <c r="F27" s="269">
        <f>2992807-23446</f>
        <v>2969361</v>
      </c>
      <c r="G27" s="269">
        <f>613368-4767</f>
        <v>608601</v>
      </c>
      <c r="H27" s="269">
        <v>10769</v>
      </c>
      <c r="I27" s="39">
        <f t="shared" si="0"/>
        <v>18187820</v>
      </c>
      <c r="J27" s="41">
        <v>1047609</v>
      </c>
      <c r="K27" s="43">
        <v>246807</v>
      </c>
      <c r="L27" s="43">
        <v>58943</v>
      </c>
      <c r="M27" s="43">
        <v>20</v>
      </c>
      <c r="N27" s="39">
        <f t="shared" si="14"/>
        <v>1353379</v>
      </c>
      <c r="O27" s="43">
        <v>987834</v>
      </c>
      <c r="P27" s="43">
        <v>235842</v>
      </c>
      <c r="Q27" s="43">
        <v>17899</v>
      </c>
      <c r="R27" s="43">
        <v>0</v>
      </c>
      <c r="S27" s="39">
        <f t="shared" si="16"/>
        <v>1241575</v>
      </c>
      <c r="T27" s="41">
        <v>1108319</v>
      </c>
      <c r="U27" s="43">
        <v>238627</v>
      </c>
      <c r="V27" s="43">
        <v>31655</v>
      </c>
      <c r="W27" s="43">
        <v>282</v>
      </c>
      <c r="X27" s="39">
        <f t="shared" si="4"/>
        <v>1378883</v>
      </c>
      <c r="Y27" s="41">
        <v>1227956</v>
      </c>
      <c r="Z27" s="43">
        <v>264202</v>
      </c>
      <c r="AA27" s="43">
        <v>27987</v>
      </c>
      <c r="AB27" s="43">
        <v>-203</v>
      </c>
      <c r="AC27" s="39">
        <f t="shared" si="5"/>
        <v>1519942</v>
      </c>
      <c r="AD27" s="41">
        <v>1026461</v>
      </c>
      <c r="AE27" s="43">
        <v>245846</v>
      </c>
      <c r="AF27" s="43">
        <v>50761</v>
      </c>
      <c r="AG27" s="43">
        <v>109</v>
      </c>
      <c r="AH27" s="39">
        <f t="shared" si="6"/>
        <v>1323177</v>
      </c>
      <c r="AI27" s="41">
        <v>1249034</v>
      </c>
      <c r="AJ27" s="43">
        <v>244693</v>
      </c>
      <c r="AK27" s="43">
        <v>37295</v>
      </c>
      <c r="AL27" s="43">
        <v>892</v>
      </c>
      <c r="AM27" s="39">
        <f t="shared" si="7"/>
        <v>1531914</v>
      </c>
      <c r="AN27" s="41">
        <v>1050463</v>
      </c>
      <c r="AO27" s="43">
        <v>239708</v>
      </c>
      <c r="AP27" s="43">
        <v>33745</v>
      </c>
      <c r="AQ27" s="43">
        <v>144</v>
      </c>
      <c r="AR27" s="39">
        <f t="shared" si="1"/>
        <v>1324060</v>
      </c>
      <c r="AS27" s="41">
        <v>1215423</v>
      </c>
      <c r="AT27" s="43">
        <v>242797</v>
      </c>
      <c r="AU27" s="43">
        <v>59962</v>
      </c>
      <c r="AV27" s="43">
        <v>2092</v>
      </c>
      <c r="AW27" s="39">
        <f t="shared" si="8"/>
        <v>1520274</v>
      </c>
      <c r="AX27" s="41">
        <v>1320848</v>
      </c>
      <c r="AY27" s="43">
        <v>246613</v>
      </c>
      <c r="AZ27" s="43">
        <v>9587</v>
      </c>
      <c r="BA27" s="43">
        <v>21</v>
      </c>
      <c r="BB27" s="39">
        <f t="shared" si="9"/>
        <v>1577069</v>
      </c>
      <c r="BC27" s="41">
        <v>1057100</v>
      </c>
      <c r="BD27" s="43">
        <v>251217</v>
      </c>
      <c r="BE27" s="43">
        <v>81727</v>
      </c>
      <c r="BF27" s="43">
        <v>16</v>
      </c>
      <c r="BG27" s="39">
        <f t="shared" si="10"/>
        <v>1390060</v>
      </c>
      <c r="BH27" s="41">
        <v>0</v>
      </c>
      <c r="BI27" s="43">
        <v>0</v>
      </c>
      <c r="BJ27" s="43">
        <v>0</v>
      </c>
      <c r="BK27" s="43">
        <v>0</v>
      </c>
      <c r="BL27" s="39">
        <f t="shared" si="11"/>
        <v>0</v>
      </c>
      <c r="BM27" s="41">
        <v>0</v>
      </c>
      <c r="BN27" s="43">
        <v>0</v>
      </c>
      <c r="BO27" s="43">
        <v>0</v>
      </c>
      <c r="BP27" s="43">
        <v>0</v>
      </c>
      <c r="BQ27" s="39">
        <f t="shared" si="12"/>
        <v>0</v>
      </c>
      <c r="BR27" s="41">
        <f t="shared" si="15"/>
        <v>11291047</v>
      </c>
      <c r="BS27" s="269">
        <f t="shared" si="15"/>
        <v>2456352</v>
      </c>
      <c r="BT27" s="43">
        <f t="shared" si="15"/>
        <v>409561</v>
      </c>
      <c r="BU27" s="43">
        <f t="shared" si="15"/>
        <v>3373</v>
      </c>
      <c r="BV27" s="41">
        <f t="shared" si="2"/>
        <v>14160333</v>
      </c>
      <c r="BW27" s="9"/>
      <c r="BX27" s="208"/>
    </row>
    <row r="28" spans="1:80" x14ac:dyDescent="0.2">
      <c r="A28" s="202">
        <v>22</v>
      </c>
      <c r="B28" s="180" t="s">
        <v>262</v>
      </c>
      <c r="D28" s="204"/>
      <c r="E28" s="268">
        <f>2015518-979987</f>
        <v>1035531</v>
      </c>
      <c r="F28" s="269">
        <f>75004-71738</f>
        <v>3266</v>
      </c>
      <c r="G28" s="269">
        <v>95066</v>
      </c>
      <c r="H28" s="269">
        <v>24</v>
      </c>
      <c r="I28" s="39">
        <f t="shared" si="0"/>
        <v>1133887</v>
      </c>
      <c r="J28" s="41">
        <v>68601</v>
      </c>
      <c r="K28" s="43">
        <v>302</v>
      </c>
      <c r="L28" s="43">
        <v>934</v>
      </c>
      <c r="M28" s="43">
        <v>0</v>
      </c>
      <c r="N28" s="39">
        <f t="shared" si="14"/>
        <v>69837</v>
      </c>
      <c r="O28" s="43">
        <v>73422</v>
      </c>
      <c r="P28" s="43">
        <v>38</v>
      </c>
      <c r="Q28" s="43">
        <v>623</v>
      </c>
      <c r="R28" s="43">
        <v>24</v>
      </c>
      <c r="S28" s="39">
        <f>SUM(O28:R28)</f>
        <v>74107</v>
      </c>
      <c r="T28" s="41">
        <v>79779</v>
      </c>
      <c r="U28" s="43">
        <v>44</v>
      </c>
      <c r="V28" s="43">
        <v>2601</v>
      </c>
      <c r="W28" s="43">
        <v>0</v>
      </c>
      <c r="X28" s="39">
        <f t="shared" si="4"/>
        <v>82424</v>
      </c>
      <c r="Y28" s="41">
        <v>82810</v>
      </c>
      <c r="Z28" s="43">
        <v>1478</v>
      </c>
      <c r="AA28" s="43">
        <v>5692</v>
      </c>
      <c r="AB28" s="43">
        <v>0</v>
      </c>
      <c r="AC28" s="39">
        <f t="shared" si="5"/>
        <v>89980</v>
      </c>
      <c r="AD28" s="41">
        <v>92608</v>
      </c>
      <c r="AE28" s="43">
        <v>-295</v>
      </c>
      <c r="AF28" s="43">
        <v>19853</v>
      </c>
      <c r="AG28" s="43">
        <v>0</v>
      </c>
      <c r="AH28" s="39">
        <f t="shared" si="6"/>
        <v>112166</v>
      </c>
      <c r="AI28" s="41">
        <v>82339</v>
      </c>
      <c r="AJ28" s="43">
        <v>48</v>
      </c>
      <c r="AK28" s="43">
        <v>6178</v>
      </c>
      <c r="AL28" s="43">
        <v>0</v>
      </c>
      <c r="AM28" s="39">
        <f t="shared" si="7"/>
        <v>88565</v>
      </c>
      <c r="AN28" s="41">
        <v>87425</v>
      </c>
      <c r="AO28" s="43">
        <v>231</v>
      </c>
      <c r="AP28" s="43">
        <v>9702</v>
      </c>
      <c r="AQ28" s="43">
        <v>0</v>
      </c>
      <c r="AR28" s="39">
        <f t="shared" si="1"/>
        <v>97358</v>
      </c>
      <c r="AS28" s="41">
        <v>79280</v>
      </c>
      <c r="AT28" s="43">
        <v>138</v>
      </c>
      <c r="AU28" s="43">
        <v>2628</v>
      </c>
      <c r="AV28" s="43">
        <v>0</v>
      </c>
      <c r="AW28" s="39">
        <f t="shared" si="8"/>
        <v>82046</v>
      </c>
      <c r="AX28" s="41">
        <v>80448</v>
      </c>
      <c r="AY28" s="43">
        <v>392</v>
      </c>
      <c r="AZ28" s="43">
        <v>6977</v>
      </c>
      <c r="BA28" s="43">
        <v>0</v>
      </c>
      <c r="BB28" s="39">
        <f t="shared" si="9"/>
        <v>87817</v>
      </c>
      <c r="BC28" s="41">
        <v>78691</v>
      </c>
      <c r="BD28" s="43">
        <v>77</v>
      </c>
      <c r="BE28" s="43">
        <v>5212</v>
      </c>
      <c r="BF28" s="43">
        <v>0</v>
      </c>
      <c r="BG28" s="39">
        <f t="shared" si="10"/>
        <v>83980</v>
      </c>
      <c r="BH28" s="41">
        <v>0</v>
      </c>
      <c r="BI28" s="43">
        <v>0</v>
      </c>
      <c r="BJ28" s="43">
        <v>0</v>
      </c>
      <c r="BK28" s="43">
        <v>0</v>
      </c>
      <c r="BL28" s="39">
        <f t="shared" si="11"/>
        <v>0</v>
      </c>
      <c r="BM28" s="41">
        <v>0</v>
      </c>
      <c r="BN28" s="43">
        <v>0</v>
      </c>
      <c r="BO28" s="43">
        <v>0</v>
      </c>
      <c r="BP28" s="43">
        <v>0</v>
      </c>
      <c r="BQ28" s="39">
        <f t="shared" si="12"/>
        <v>0</v>
      </c>
      <c r="BR28" s="41">
        <f t="shared" si="15"/>
        <v>805403</v>
      </c>
      <c r="BS28" s="269">
        <f t="shared" si="15"/>
        <v>2453</v>
      </c>
      <c r="BT28" s="43">
        <f t="shared" si="15"/>
        <v>60400</v>
      </c>
      <c r="BU28" s="43">
        <f t="shared" si="15"/>
        <v>24</v>
      </c>
      <c r="BV28" s="41">
        <f t="shared" si="2"/>
        <v>868280</v>
      </c>
      <c r="BW28" s="9"/>
      <c r="BX28" s="208"/>
    </row>
    <row r="29" spans="1:80" x14ac:dyDescent="0.2">
      <c r="A29" s="202">
        <v>23</v>
      </c>
      <c r="B29" s="203" t="s">
        <v>212</v>
      </c>
      <c r="D29" s="204"/>
      <c r="E29" s="268">
        <v>92232130</v>
      </c>
      <c r="F29" s="269">
        <v>1368195</v>
      </c>
      <c r="G29" s="269">
        <v>2440586</v>
      </c>
      <c r="H29" s="269">
        <v>32306</v>
      </c>
      <c r="I29" s="39">
        <f t="shared" si="0"/>
        <v>96073217</v>
      </c>
      <c r="J29" s="41">
        <v>7584822</v>
      </c>
      <c r="K29" s="43">
        <v>126582</v>
      </c>
      <c r="L29" s="43">
        <v>77961</v>
      </c>
      <c r="M29" s="43">
        <v>833</v>
      </c>
      <c r="N29" s="39">
        <f t="shared" si="14"/>
        <v>7790198</v>
      </c>
      <c r="O29" s="43">
        <v>7378437</v>
      </c>
      <c r="P29" s="43">
        <v>109950</v>
      </c>
      <c r="Q29" s="43">
        <v>62539</v>
      </c>
      <c r="R29" s="43">
        <v>1248</v>
      </c>
      <c r="S29" s="39">
        <f>SUM(O29:R29)</f>
        <v>7552174</v>
      </c>
      <c r="T29" s="41">
        <v>7722221</v>
      </c>
      <c r="U29" s="43">
        <v>75464</v>
      </c>
      <c r="V29" s="43">
        <v>165924</v>
      </c>
      <c r="W29" s="43">
        <v>154</v>
      </c>
      <c r="X29" s="41">
        <f t="shared" si="4"/>
        <v>7963763</v>
      </c>
      <c r="Y29" s="41">
        <v>7886220</v>
      </c>
      <c r="Z29" s="43">
        <v>148077</v>
      </c>
      <c r="AA29" s="43">
        <v>163921</v>
      </c>
      <c r="AB29" s="43">
        <v>1732</v>
      </c>
      <c r="AC29" s="39">
        <f t="shared" si="5"/>
        <v>8199950</v>
      </c>
      <c r="AD29" s="41">
        <v>7276739</v>
      </c>
      <c r="AE29" s="43">
        <v>105180</v>
      </c>
      <c r="AF29" s="43">
        <v>125595</v>
      </c>
      <c r="AG29" s="43">
        <v>881</v>
      </c>
      <c r="AH29" s="39">
        <f t="shared" si="6"/>
        <v>7508395</v>
      </c>
      <c r="AI29" s="41">
        <v>7181134</v>
      </c>
      <c r="AJ29" s="43">
        <v>102595</v>
      </c>
      <c r="AK29" s="43">
        <v>97674</v>
      </c>
      <c r="AL29" s="43">
        <v>534</v>
      </c>
      <c r="AM29" s="39">
        <f t="shared" si="7"/>
        <v>7381937</v>
      </c>
      <c r="AN29" s="41">
        <v>7767415</v>
      </c>
      <c r="AO29" s="43">
        <v>177789</v>
      </c>
      <c r="AP29" s="43">
        <v>193976</v>
      </c>
      <c r="AQ29" s="43">
        <v>1256</v>
      </c>
      <c r="AR29" s="39">
        <f t="shared" si="1"/>
        <v>8140436</v>
      </c>
      <c r="AS29" s="41">
        <v>7162635</v>
      </c>
      <c r="AT29" s="43">
        <v>103389</v>
      </c>
      <c r="AU29" s="43">
        <v>184574</v>
      </c>
      <c r="AV29" s="43">
        <v>8429</v>
      </c>
      <c r="AW29" s="39">
        <f t="shared" si="8"/>
        <v>7459027</v>
      </c>
      <c r="AX29" s="41">
        <v>7653704</v>
      </c>
      <c r="AY29" s="43">
        <v>115101</v>
      </c>
      <c r="AZ29" s="43">
        <v>349001</v>
      </c>
      <c r="BA29" s="43">
        <v>1353</v>
      </c>
      <c r="BB29" s="39">
        <f t="shared" si="9"/>
        <v>8119159</v>
      </c>
      <c r="BC29" s="41">
        <v>7632078</v>
      </c>
      <c r="BD29" s="43">
        <v>95367</v>
      </c>
      <c r="BE29" s="43">
        <v>312444</v>
      </c>
      <c r="BF29" s="43">
        <v>6848</v>
      </c>
      <c r="BG29" s="39">
        <f t="shared" si="10"/>
        <v>8046737</v>
      </c>
      <c r="BH29" s="41">
        <v>0</v>
      </c>
      <c r="BI29" s="43">
        <v>0</v>
      </c>
      <c r="BJ29" s="43">
        <v>0</v>
      </c>
      <c r="BK29" s="43">
        <v>0</v>
      </c>
      <c r="BL29" s="39">
        <f t="shared" si="11"/>
        <v>0</v>
      </c>
      <c r="BM29" s="41">
        <v>0</v>
      </c>
      <c r="BN29" s="43">
        <v>0</v>
      </c>
      <c r="BO29" s="43">
        <v>0</v>
      </c>
      <c r="BP29" s="43">
        <v>0</v>
      </c>
      <c r="BQ29" s="39">
        <f t="shared" si="12"/>
        <v>0</v>
      </c>
      <c r="BR29" s="41">
        <f t="shared" si="15"/>
        <v>75245405</v>
      </c>
      <c r="BS29" s="269">
        <f t="shared" si="15"/>
        <v>1159494</v>
      </c>
      <c r="BT29" s="43">
        <f t="shared" si="15"/>
        <v>1733609</v>
      </c>
      <c r="BU29" s="43">
        <f t="shared" si="15"/>
        <v>23268</v>
      </c>
      <c r="BV29" s="41">
        <f t="shared" si="2"/>
        <v>78161776</v>
      </c>
      <c r="BW29" s="9"/>
      <c r="BX29" s="208"/>
    </row>
    <row r="30" spans="1:80" x14ac:dyDescent="0.2">
      <c r="A30" s="202">
        <v>24</v>
      </c>
      <c r="B30" s="203" t="s">
        <v>263</v>
      </c>
      <c r="D30" s="204"/>
      <c r="E30" s="268">
        <v>3069306</v>
      </c>
      <c r="F30" s="269">
        <v>4185490</v>
      </c>
      <c r="G30" s="269">
        <f>202307-31</f>
        <v>202276</v>
      </c>
      <c r="H30" s="269">
        <v>2928</v>
      </c>
      <c r="I30" s="39">
        <f t="shared" si="0"/>
        <v>7460000</v>
      </c>
      <c r="J30" s="41">
        <v>309658</v>
      </c>
      <c r="K30" s="43">
        <v>549654</v>
      </c>
      <c r="L30" s="43">
        <v>8219</v>
      </c>
      <c r="M30" s="43">
        <v>0</v>
      </c>
      <c r="N30" s="39">
        <f t="shared" si="14"/>
        <v>867531</v>
      </c>
      <c r="O30" s="43">
        <v>270415</v>
      </c>
      <c r="P30" s="43">
        <v>369038</v>
      </c>
      <c r="Q30" s="43">
        <v>20066</v>
      </c>
      <c r="R30" s="43">
        <v>17</v>
      </c>
      <c r="S30" s="39">
        <f>SUM(O30:R30)</f>
        <v>659536</v>
      </c>
      <c r="T30" s="41">
        <v>257411</v>
      </c>
      <c r="U30" s="43">
        <v>157097</v>
      </c>
      <c r="V30" s="43">
        <v>12852</v>
      </c>
      <c r="W30" s="43">
        <v>14</v>
      </c>
      <c r="X30" s="39">
        <f t="shared" si="4"/>
        <v>427374</v>
      </c>
      <c r="Y30" s="41">
        <v>254616</v>
      </c>
      <c r="Z30" s="43">
        <v>127626</v>
      </c>
      <c r="AA30" s="43">
        <v>24567</v>
      </c>
      <c r="AB30" s="43">
        <v>3</v>
      </c>
      <c r="AC30" s="39">
        <f t="shared" si="5"/>
        <v>406812</v>
      </c>
      <c r="AD30" s="41">
        <v>261910</v>
      </c>
      <c r="AE30" s="43">
        <v>898028</v>
      </c>
      <c r="AF30" s="43">
        <v>19103</v>
      </c>
      <c r="AG30" s="43">
        <v>116</v>
      </c>
      <c r="AH30" s="39">
        <f t="shared" si="6"/>
        <v>1179157</v>
      </c>
      <c r="AI30" s="41">
        <v>238307</v>
      </c>
      <c r="AJ30" s="43">
        <v>90631</v>
      </c>
      <c r="AK30" s="43">
        <v>9568</v>
      </c>
      <c r="AL30" s="43">
        <v>23</v>
      </c>
      <c r="AM30" s="39">
        <f t="shared" si="7"/>
        <v>338529</v>
      </c>
      <c r="AN30" s="41">
        <v>219257</v>
      </c>
      <c r="AO30" s="43">
        <v>918239</v>
      </c>
      <c r="AP30" s="43">
        <v>29482</v>
      </c>
      <c r="AQ30" s="43">
        <v>27</v>
      </c>
      <c r="AR30" s="39">
        <f t="shared" si="1"/>
        <v>1167005</v>
      </c>
      <c r="AS30" s="41">
        <v>250456</v>
      </c>
      <c r="AT30" s="43">
        <v>89739</v>
      </c>
      <c r="AU30" s="43">
        <v>22610</v>
      </c>
      <c r="AV30" s="43">
        <v>20</v>
      </c>
      <c r="AW30" s="39">
        <f t="shared" si="8"/>
        <v>362825</v>
      </c>
      <c r="AX30" s="41">
        <v>249862</v>
      </c>
      <c r="AY30" s="43">
        <v>93770</v>
      </c>
      <c r="AZ30" s="43">
        <v>14433</v>
      </c>
      <c r="BA30" s="43">
        <v>31</v>
      </c>
      <c r="BB30" s="39">
        <f t="shared" si="9"/>
        <v>358096</v>
      </c>
      <c r="BC30" s="41">
        <v>229489</v>
      </c>
      <c r="BD30" s="43">
        <v>855251</v>
      </c>
      <c r="BE30" s="43">
        <v>10574</v>
      </c>
      <c r="BF30" s="43">
        <v>34</v>
      </c>
      <c r="BG30" s="39">
        <f t="shared" si="10"/>
        <v>1095348</v>
      </c>
      <c r="BH30" s="41">
        <v>0</v>
      </c>
      <c r="BI30" s="43">
        <v>0</v>
      </c>
      <c r="BJ30" s="43">
        <v>0</v>
      </c>
      <c r="BK30" s="43">
        <v>0</v>
      </c>
      <c r="BL30" s="39">
        <f t="shared" si="11"/>
        <v>0</v>
      </c>
      <c r="BM30" s="41">
        <v>0</v>
      </c>
      <c r="BN30" s="43">
        <v>0</v>
      </c>
      <c r="BO30" s="43">
        <v>0</v>
      </c>
      <c r="BP30" s="43">
        <v>0</v>
      </c>
      <c r="BQ30" s="39">
        <f t="shared" si="12"/>
        <v>0</v>
      </c>
      <c r="BR30" s="41">
        <f t="shared" si="15"/>
        <v>2541381</v>
      </c>
      <c r="BS30" s="269">
        <f t="shared" si="15"/>
        <v>4149073</v>
      </c>
      <c r="BT30" s="43">
        <f t="shared" si="15"/>
        <v>171474</v>
      </c>
      <c r="BU30" s="43">
        <f t="shared" si="15"/>
        <v>285</v>
      </c>
      <c r="BV30" s="41">
        <f t="shared" si="2"/>
        <v>6862213</v>
      </c>
      <c r="BW30" s="9"/>
      <c r="BX30" s="208"/>
    </row>
    <row r="31" spans="1:80" x14ac:dyDescent="0.2">
      <c r="A31" s="202">
        <v>25</v>
      </c>
      <c r="B31" s="203" t="s">
        <v>264</v>
      </c>
      <c r="D31" s="204"/>
      <c r="E31" s="268">
        <v>124792</v>
      </c>
      <c r="F31" s="269">
        <v>840821</v>
      </c>
      <c r="G31" s="269">
        <v>746</v>
      </c>
      <c r="H31" s="269">
        <v>0</v>
      </c>
      <c r="I31" s="39">
        <f t="shared" si="0"/>
        <v>966359</v>
      </c>
      <c r="J31" s="41">
        <v>12577</v>
      </c>
      <c r="K31" s="43">
        <v>160603</v>
      </c>
      <c r="L31" s="43">
        <v>38</v>
      </c>
      <c r="M31" s="43">
        <v>0</v>
      </c>
      <c r="N31" s="39">
        <f t="shared" si="14"/>
        <v>173218</v>
      </c>
      <c r="O31" s="43">
        <v>8990</v>
      </c>
      <c r="P31" s="43">
        <v>72420</v>
      </c>
      <c r="Q31" s="43">
        <v>76</v>
      </c>
      <c r="R31" s="43">
        <v>0</v>
      </c>
      <c r="S31" s="39">
        <f>SUM(O31:R31)</f>
        <v>81486</v>
      </c>
      <c r="T31" s="41">
        <v>10450</v>
      </c>
      <c r="U31" s="43">
        <v>17500</v>
      </c>
      <c r="V31" s="43">
        <v>59</v>
      </c>
      <c r="W31" s="43">
        <v>0</v>
      </c>
      <c r="X31" s="39">
        <f t="shared" si="4"/>
        <v>28009</v>
      </c>
      <c r="Y31" s="41">
        <v>12028</v>
      </c>
      <c r="Z31" s="43">
        <v>100656</v>
      </c>
      <c r="AA31" s="43">
        <v>58</v>
      </c>
      <c r="AB31" s="43">
        <v>0</v>
      </c>
      <c r="AC31" s="39">
        <f t="shared" si="5"/>
        <v>112742</v>
      </c>
      <c r="AD31" s="41">
        <v>10832</v>
      </c>
      <c r="AE31" s="43">
        <v>113420</v>
      </c>
      <c r="AF31" s="43">
        <v>47</v>
      </c>
      <c r="AG31" s="43">
        <v>0</v>
      </c>
      <c r="AH31" s="39">
        <f t="shared" si="6"/>
        <v>124299</v>
      </c>
      <c r="AI31" s="41">
        <v>12479</v>
      </c>
      <c r="AJ31" s="43">
        <v>17504</v>
      </c>
      <c r="AK31" s="43">
        <v>65</v>
      </c>
      <c r="AL31" s="43">
        <v>0</v>
      </c>
      <c r="AM31" s="39">
        <f t="shared" si="7"/>
        <v>30048</v>
      </c>
      <c r="AN31" s="41">
        <v>8628</v>
      </c>
      <c r="AO31" s="43">
        <v>100592</v>
      </c>
      <c r="AP31" s="43">
        <v>53</v>
      </c>
      <c r="AQ31" s="43">
        <v>0</v>
      </c>
      <c r="AR31" s="39">
        <f t="shared" si="1"/>
        <v>109273</v>
      </c>
      <c r="AS31" s="41">
        <v>9780</v>
      </c>
      <c r="AT31" s="43">
        <v>92671</v>
      </c>
      <c r="AU31" s="43">
        <v>50</v>
      </c>
      <c r="AV31" s="43">
        <v>0</v>
      </c>
      <c r="AW31" s="39">
        <f t="shared" si="8"/>
        <v>102501</v>
      </c>
      <c r="AX31" s="41">
        <v>8874</v>
      </c>
      <c r="AY31" s="43">
        <v>0</v>
      </c>
      <c r="AZ31" s="43">
        <v>50</v>
      </c>
      <c r="BA31" s="43">
        <v>0</v>
      </c>
      <c r="BB31" s="39">
        <f t="shared" si="9"/>
        <v>8924</v>
      </c>
      <c r="BC31" s="41">
        <v>9465</v>
      </c>
      <c r="BD31" s="43">
        <v>105092</v>
      </c>
      <c r="BE31" s="43">
        <v>49</v>
      </c>
      <c r="BF31" s="43">
        <v>0</v>
      </c>
      <c r="BG31" s="39">
        <f t="shared" si="10"/>
        <v>114606</v>
      </c>
      <c r="BH31" s="41">
        <v>0</v>
      </c>
      <c r="BI31" s="43">
        <v>0</v>
      </c>
      <c r="BJ31" s="43">
        <v>0</v>
      </c>
      <c r="BK31" s="43">
        <v>0</v>
      </c>
      <c r="BL31" s="39">
        <f t="shared" si="11"/>
        <v>0</v>
      </c>
      <c r="BM31" s="41">
        <v>0</v>
      </c>
      <c r="BN31" s="43">
        <v>0</v>
      </c>
      <c r="BO31" s="43">
        <v>0</v>
      </c>
      <c r="BP31" s="43">
        <v>0</v>
      </c>
      <c r="BQ31" s="39">
        <f t="shared" si="12"/>
        <v>0</v>
      </c>
      <c r="BR31" s="41">
        <f t="shared" si="15"/>
        <v>104103</v>
      </c>
      <c r="BS31" s="269">
        <f t="shared" si="15"/>
        <v>780458</v>
      </c>
      <c r="BT31" s="43">
        <f t="shared" si="15"/>
        <v>545</v>
      </c>
      <c r="BU31" s="43">
        <f t="shared" si="15"/>
        <v>0</v>
      </c>
      <c r="BV31" s="41">
        <f t="shared" si="2"/>
        <v>885106</v>
      </c>
      <c r="BW31" s="9"/>
      <c r="BX31" s="208"/>
    </row>
    <row r="32" spans="1:80" x14ac:dyDescent="0.2">
      <c r="A32" s="202">
        <v>26</v>
      </c>
      <c r="B32" s="203" t="s">
        <v>265</v>
      </c>
      <c r="D32" s="204"/>
      <c r="E32" s="268">
        <v>615208</v>
      </c>
      <c r="F32" s="269">
        <v>6309774</v>
      </c>
      <c r="G32" s="269">
        <v>2237</v>
      </c>
      <c r="H32" s="269">
        <v>11</v>
      </c>
      <c r="I32" s="39">
        <f t="shared" si="0"/>
        <v>6927230</v>
      </c>
      <c r="J32" s="41">
        <v>34656</v>
      </c>
      <c r="K32" s="43">
        <v>476094</v>
      </c>
      <c r="L32" s="43">
        <v>0</v>
      </c>
      <c r="M32" s="43">
        <v>0</v>
      </c>
      <c r="N32" s="39">
        <f t="shared" si="14"/>
        <v>510750</v>
      </c>
      <c r="O32" s="43">
        <v>41232</v>
      </c>
      <c r="P32" s="43">
        <v>613287</v>
      </c>
      <c r="Q32" s="43">
        <v>495</v>
      </c>
      <c r="R32" s="43">
        <v>0</v>
      </c>
      <c r="S32" s="39">
        <f>SUM(O32:R32)</f>
        <v>655014</v>
      </c>
      <c r="T32" s="41">
        <v>42340</v>
      </c>
      <c r="U32" s="43">
        <v>94049</v>
      </c>
      <c r="V32" s="43">
        <v>294</v>
      </c>
      <c r="W32" s="43">
        <v>0</v>
      </c>
      <c r="X32" s="39">
        <f t="shared" si="4"/>
        <v>136683</v>
      </c>
      <c r="Y32" s="41">
        <v>41777</v>
      </c>
      <c r="Z32" s="43">
        <v>740658</v>
      </c>
      <c r="AA32" s="43">
        <v>127</v>
      </c>
      <c r="AB32" s="43">
        <v>0</v>
      </c>
      <c r="AC32" s="39">
        <f t="shared" si="5"/>
        <v>782562</v>
      </c>
      <c r="AD32" s="41">
        <v>42470</v>
      </c>
      <c r="AE32" s="43">
        <v>793677</v>
      </c>
      <c r="AF32" s="43">
        <v>433</v>
      </c>
      <c r="AG32" s="43">
        <v>8</v>
      </c>
      <c r="AH32" s="39">
        <f>SUM(AD32:AG32)</f>
        <v>836588</v>
      </c>
      <c r="AI32" s="41">
        <v>63596</v>
      </c>
      <c r="AJ32" s="43">
        <v>110403</v>
      </c>
      <c r="AK32" s="43">
        <v>240</v>
      </c>
      <c r="AL32" s="43">
        <v>0</v>
      </c>
      <c r="AM32" s="39">
        <f t="shared" si="7"/>
        <v>174239</v>
      </c>
      <c r="AN32" s="41">
        <v>57457</v>
      </c>
      <c r="AO32" s="43">
        <v>982087</v>
      </c>
      <c r="AP32" s="43">
        <v>103</v>
      </c>
      <c r="AQ32" s="43">
        <v>0</v>
      </c>
      <c r="AR32" s="39">
        <f t="shared" si="1"/>
        <v>1039647</v>
      </c>
      <c r="AS32" s="41">
        <v>43483</v>
      </c>
      <c r="AT32" s="43">
        <v>677986</v>
      </c>
      <c r="AU32" s="43">
        <v>0</v>
      </c>
      <c r="AV32" s="43">
        <v>0</v>
      </c>
      <c r="AW32" s="39">
        <f t="shared" si="8"/>
        <v>721469</v>
      </c>
      <c r="AX32" s="41">
        <v>79933</v>
      </c>
      <c r="AY32" s="43">
        <v>850901</v>
      </c>
      <c r="AZ32" s="43">
        <v>328</v>
      </c>
      <c r="BA32" s="43">
        <v>0</v>
      </c>
      <c r="BB32" s="39">
        <f t="shared" si="9"/>
        <v>931162</v>
      </c>
      <c r="BC32" s="41">
        <v>35073</v>
      </c>
      <c r="BD32" s="43">
        <v>416</v>
      </c>
      <c r="BE32" s="43">
        <v>23</v>
      </c>
      <c r="BF32" s="43">
        <v>0</v>
      </c>
      <c r="BG32" s="39">
        <f t="shared" si="10"/>
        <v>35512</v>
      </c>
      <c r="BH32" s="41">
        <v>0</v>
      </c>
      <c r="BI32" s="43">
        <v>0</v>
      </c>
      <c r="BJ32" s="43">
        <v>0</v>
      </c>
      <c r="BK32" s="43">
        <v>0</v>
      </c>
      <c r="BL32" s="39">
        <f t="shared" si="11"/>
        <v>0</v>
      </c>
      <c r="BM32" s="41">
        <v>0</v>
      </c>
      <c r="BN32" s="43">
        <v>0</v>
      </c>
      <c r="BO32" s="43">
        <v>0</v>
      </c>
      <c r="BP32" s="43">
        <v>0</v>
      </c>
      <c r="BQ32" s="39">
        <f t="shared" si="12"/>
        <v>0</v>
      </c>
      <c r="BR32" s="41">
        <f t="shared" si="15"/>
        <v>482017</v>
      </c>
      <c r="BS32" s="269">
        <f t="shared" si="15"/>
        <v>5339558</v>
      </c>
      <c r="BT32" s="43">
        <f t="shared" si="15"/>
        <v>2043</v>
      </c>
      <c r="BU32" s="43">
        <f t="shared" si="15"/>
        <v>8</v>
      </c>
      <c r="BV32" s="41">
        <f t="shared" si="2"/>
        <v>5823626</v>
      </c>
      <c r="BW32" s="9"/>
      <c r="BX32" s="208"/>
    </row>
    <row r="33" spans="1:78" x14ac:dyDescent="0.2">
      <c r="A33" s="202">
        <v>27</v>
      </c>
      <c r="B33" s="210" t="s">
        <v>266</v>
      </c>
      <c r="D33" s="207"/>
      <c r="E33" s="268">
        <v>4745830</v>
      </c>
      <c r="F33" s="269">
        <v>2030324</v>
      </c>
      <c r="G33" s="269">
        <v>576725</v>
      </c>
      <c r="H33" s="269">
        <v>13768</v>
      </c>
      <c r="I33" s="39">
        <f t="shared" si="0"/>
        <v>7366647</v>
      </c>
      <c r="J33" s="41">
        <v>152643</v>
      </c>
      <c r="K33" s="43">
        <v>126597</v>
      </c>
      <c r="L33" s="43">
        <v>69</v>
      </c>
      <c r="M33" s="43">
        <v>0</v>
      </c>
      <c r="N33" s="39">
        <f t="shared" si="14"/>
        <v>279309</v>
      </c>
      <c r="O33" s="43">
        <v>413177</v>
      </c>
      <c r="P33" s="43">
        <v>141813</v>
      </c>
      <c r="Q33" s="43">
        <v>1106</v>
      </c>
      <c r="R33" s="43">
        <v>0</v>
      </c>
      <c r="S33" s="39">
        <f t="shared" ref="S33:S46" si="17">SUM(O33:R33)</f>
        <v>556096</v>
      </c>
      <c r="T33" s="41">
        <v>303803</v>
      </c>
      <c r="U33" s="43">
        <v>64958</v>
      </c>
      <c r="V33" s="43">
        <v>26154</v>
      </c>
      <c r="W33" s="43">
        <v>0</v>
      </c>
      <c r="X33" s="39">
        <f t="shared" si="4"/>
        <v>394915</v>
      </c>
      <c r="Y33" s="41">
        <v>463602</v>
      </c>
      <c r="Z33" s="43">
        <v>110638</v>
      </c>
      <c r="AA33" s="43">
        <v>17527</v>
      </c>
      <c r="AB33" s="43">
        <v>0</v>
      </c>
      <c r="AC33" s="39">
        <f t="shared" si="5"/>
        <v>591767</v>
      </c>
      <c r="AD33" s="41">
        <v>276602</v>
      </c>
      <c r="AE33" s="43">
        <v>64335</v>
      </c>
      <c r="AF33" s="43">
        <v>18336</v>
      </c>
      <c r="AG33" s="43">
        <v>0</v>
      </c>
      <c r="AH33" s="39">
        <f t="shared" si="6"/>
        <v>359273</v>
      </c>
      <c r="AI33" s="41">
        <v>411961</v>
      </c>
      <c r="AJ33" s="43">
        <v>89756</v>
      </c>
      <c r="AK33" s="43">
        <v>26648</v>
      </c>
      <c r="AL33" s="43">
        <v>1534</v>
      </c>
      <c r="AM33" s="39">
        <f t="shared" si="7"/>
        <v>529899</v>
      </c>
      <c r="AN33" s="41">
        <v>572272</v>
      </c>
      <c r="AO33" s="43">
        <v>186771</v>
      </c>
      <c r="AP33" s="43">
        <v>17033</v>
      </c>
      <c r="AQ33" s="43">
        <v>0</v>
      </c>
      <c r="AR33" s="39">
        <f t="shared" si="1"/>
        <v>776076</v>
      </c>
      <c r="AS33" s="41">
        <v>294636</v>
      </c>
      <c r="AT33" s="43">
        <v>97982</v>
      </c>
      <c r="AU33" s="43">
        <v>16449</v>
      </c>
      <c r="AV33" s="43">
        <v>1</v>
      </c>
      <c r="AW33" s="39">
        <f t="shared" si="8"/>
        <v>409068</v>
      </c>
      <c r="AX33" s="41">
        <v>538931</v>
      </c>
      <c r="AY33" s="43">
        <v>320168</v>
      </c>
      <c r="AZ33" s="43">
        <v>13730</v>
      </c>
      <c r="BA33" s="43">
        <v>0</v>
      </c>
      <c r="BB33" s="39">
        <f t="shared" si="9"/>
        <v>872829</v>
      </c>
      <c r="BC33" s="41">
        <v>409919</v>
      </c>
      <c r="BD33" s="43">
        <v>257841</v>
      </c>
      <c r="BE33" s="43">
        <v>1188</v>
      </c>
      <c r="BF33" s="43">
        <v>0</v>
      </c>
      <c r="BG33" s="39">
        <f t="shared" si="10"/>
        <v>668948</v>
      </c>
      <c r="BH33" s="41">
        <v>0</v>
      </c>
      <c r="BI33" s="43">
        <v>0</v>
      </c>
      <c r="BJ33" s="43">
        <v>0</v>
      </c>
      <c r="BK33" s="43">
        <v>0</v>
      </c>
      <c r="BL33" s="39">
        <f t="shared" si="11"/>
        <v>0</v>
      </c>
      <c r="BM33" s="41">
        <v>0</v>
      </c>
      <c r="BN33" s="43">
        <v>0</v>
      </c>
      <c r="BO33" s="43">
        <v>0</v>
      </c>
      <c r="BP33" s="43">
        <v>0</v>
      </c>
      <c r="BQ33" s="39">
        <f t="shared" si="12"/>
        <v>0</v>
      </c>
      <c r="BR33" s="41">
        <f t="shared" si="15"/>
        <v>3837546</v>
      </c>
      <c r="BS33" s="269">
        <f t="shared" si="15"/>
        <v>1460859</v>
      </c>
      <c r="BT33" s="43">
        <f t="shared" si="15"/>
        <v>138240</v>
      </c>
      <c r="BU33" s="43">
        <f t="shared" si="15"/>
        <v>1535</v>
      </c>
      <c r="BV33" s="41">
        <f t="shared" si="2"/>
        <v>5438180</v>
      </c>
      <c r="BW33" s="9"/>
      <c r="BX33" s="208"/>
    </row>
    <row r="34" spans="1:78" x14ac:dyDescent="0.2">
      <c r="A34" s="202">
        <v>28</v>
      </c>
      <c r="B34" s="210" t="s">
        <v>267</v>
      </c>
      <c r="D34" s="204"/>
      <c r="E34" s="268">
        <v>1833326</v>
      </c>
      <c r="F34" s="269">
        <v>1338288</v>
      </c>
      <c r="G34" s="269">
        <v>43145</v>
      </c>
      <c r="H34" s="269">
        <v>1118</v>
      </c>
      <c r="I34" s="39">
        <f t="shared" si="0"/>
        <v>3215877</v>
      </c>
      <c r="J34" s="41">
        <v>125523</v>
      </c>
      <c r="K34" s="43">
        <v>292413</v>
      </c>
      <c r="L34" s="43">
        <v>628</v>
      </c>
      <c r="M34" s="43">
        <v>1</v>
      </c>
      <c r="N34" s="39">
        <f t="shared" si="14"/>
        <v>418565</v>
      </c>
      <c r="O34" s="43">
        <v>149186</v>
      </c>
      <c r="P34" s="43">
        <v>2085</v>
      </c>
      <c r="Q34" s="43">
        <v>2847</v>
      </c>
      <c r="R34" s="43">
        <v>60</v>
      </c>
      <c r="S34" s="39">
        <f t="shared" si="17"/>
        <v>154178</v>
      </c>
      <c r="T34" s="41">
        <v>133260</v>
      </c>
      <c r="U34" s="43">
        <v>52148</v>
      </c>
      <c r="V34" s="43">
        <v>379</v>
      </c>
      <c r="W34" s="43">
        <v>114</v>
      </c>
      <c r="X34" s="39">
        <f t="shared" si="4"/>
        <v>185901</v>
      </c>
      <c r="Y34" s="41">
        <v>161126</v>
      </c>
      <c r="Z34" s="43">
        <v>2994</v>
      </c>
      <c r="AA34" s="43">
        <v>10417</v>
      </c>
      <c r="AB34" s="43">
        <v>-3</v>
      </c>
      <c r="AC34" s="39">
        <f t="shared" si="5"/>
        <v>174534</v>
      </c>
      <c r="AD34" s="41">
        <v>142292</v>
      </c>
      <c r="AE34" s="43">
        <v>296631</v>
      </c>
      <c r="AF34" s="43">
        <v>2945</v>
      </c>
      <c r="AG34" s="43">
        <v>43</v>
      </c>
      <c r="AH34" s="39">
        <f t="shared" si="6"/>
        <v>441911</v>
      </c>
      <c r="AI34" s="41">
        <v>153646</v>
      </c>
      <c r="AJ34" s="43">
        <v>5014</v>
      </c>
      <c r="AK34" s="43">
        <v>3527</v>
      </c>
      <c r="AL34" s="43">
        <v>12</v>
      </c>
      <c r="AM34" s="39">
        <f t="shared" si="7"/>
        <v>162199</v>
      </c>
      <c r="AN34" s="41">
        <v>150328</v>
      </c>
      <c r="AO34" s="43">
        <v>324248</v>
      </c>
      <c r="AP34" s="43">
        <v>5471</v>
      </c>
      <c r="AQ34" s="43">
        <v>25</v>
      </c>
      <c r="AR34" s="39">
        <f t="shared" si="1"/>
        <v>480072</v>
      </c>
      <c r="AS34" s="41">
        <v>155752</v>
      </c>
      <c r="AT34" s="43">
        <v>17774</v>
      </c>
      <c r="AU34" s="43">
        <v>1157</v>
      </c>
      <c r="AV34" s="43">
        <v>5</v>
      </c>
      <c r="AW34" s="39">
        <f t="shared" si="8"/>
        <v>174688</v>
      </c>
      <c r="AX34" s="41">
        <v>150059</v>
      </c>
      <c r="AY34" s="43">
        <v>24462</v>
      </c>
      <c r="AZ34" s="43">
        <v>819</v>
      </c>
      <c r="BA34" s="43">
        <v>3</v>
      </c>
      <c r="BB34" s="39">
        <f t="shared" si="9"/>
        <v>175343</v>
      </c>
      <c r="BC34" s="41">
        <v>138742</v>
      </c>
      <c r="BD34" s="43">
        <v>37393</v>
      </c>
      <c r="BE34" s="43">
        <v>764</v>
      </c>
      <c r="BF34" s="43">
        <v>2</v>
      </c>
      <c r="BG34" s="39">
        <f t="shared" si="10"/>
        <v>176901</v>
      </c>
      <c r="BH34" s="41">
        <v>0</v>
      </c>
      <c r="BI34" s="43">
        <v>0</v>
      </c>
      <c r="BJ34" s="43">
        <v>0</v>
      </c>
      <c r="BK34" s="43">
        <v>0</v>
      </c>
      <c r="BL34" s="39">
        <f t="shared" si="11"/>
        <v>0</v>
      </c>
      <c r="BM34" s="41">
        <v>0</v>
      </c>
      <c r="BN34" s="43">
        <v>0</v>
      </c>
      <c r="BO34" s="43">
        <v>0</v>
      </c>
      <c r="BP34" s="43">
        <v>0</v>
      </c>
      <c r="BQ34" s="39">
        <f t="shared" si="12"/>
        <v>0</v>
      </c>
      <c r="BR34" s="41">
        <f t="shared" si="15"/>
        <v>1459914</v>
      </c>
      <c r="BS34" s="269">
        <f t="shared" si="15"/>
        <v>1055162</v>
      </c>
      <c r="BT34" s="43">
        <f t="shared" si="15"/>
        <v>28954</v>
      </c>
      <c r="BU34" s="43">
        <f t="shared" si="15"/>
        <v>262</v>
      </c>
      <c r="BV34" s="41">
        <f t="shared" si="2"/>
        <v>2544292</v>
      </c>
      <c r="BW34" s="9"/>
      <c r="BX34" s="208"/>
    </row>
    <row r="35" spans="1:78" x14ac:dyDescent="0.2">
      <c r="A35" s="202">
        <v>29</v>
      </c>
      <c r="B35" s="203" t="s">
        <v>268</v>
      </c>
      <c r="D35" s="204"/>
      <c r="E35" s="268">
        <v>937330</v>
      </c>
      <c r="F35" s="269">
        <v>1048651</v>
      </c>
      <c r="G35" s="269">
        <v>2238</v>
      </c>
      <c r="H35" s="269">
        <v>73</v>
      </c>
      <c r="I35" s="39">
        <f t="shared" si="0"/>
        <v>1988292</v>
      </c>
      <c r="J35" s="41">
        <v>91734</v>
      </c>
      <c r="K35" s="43">
        <v>200010</v>
      </c>
      <c r="L35" s="43">
        <v>133</v>
      </c>
      <c r="M35" s="43">
        <v>0</v>
      </c>
      <c r="N35" s="39">
        <f t="shared" si="14"/>
        <v>291877</v>
      </c>
      <c r="O35" s="43">
        <v>71355</v>
      </c>
      <c r="P35" s="43">
        <v>76379</v>
      </c>
      <c r="Q35" s="43">
        <v>569</v>
      </c>
      <c r="R35" s="43">
        <v>0</v>
      </c>
      <c r="S35" s="39">
        <f t="shared" si="17"/>
        <v>148303</v>
      </c>
      <c r="T35" s="41">
        <v>81849</v>
      </c>
      <c r="U35" s="43">
        <v>64821</v>
      </c>
      <c r="V35" s="43">
        <v>0</v>
      </c>
      <c r="W35" s="43">
        <v>0</v>
      </c>
      <c r="X35" s="39">
        <f t="shared" si="4"/>
        <v>146670</v>
      </c>
      <c r="Y35" s="41">
        <v>81415</v>
      </c>
      <c r="Z35" s="43">
        <v>163708</v>
      </c>
      <c r="AA35" s="43">
        <v>268</v>
      </c>
      <c r="AB35" s="43">
        <v>0</v>
      </c>
      <c r="AC35" s="39">
        <f t="shared" si="5"/>
        <v>245391</v>
      </c>
      <c r="AD35" s="41">
        <v>70428</v>
      </c>
      <c r="AE35" s="43">
        <v>77762</v>
      </c>
      <c r="AF35" s="43">
        <v>34</v>
      </c>
      <c r="AG35" s="43">
        <v>0</v>
      </c>
      <c r="AH35" s="39">
        <f t="shared" si="6"/>
        <v>148224</v>
      </c>
      <c r="AI35" s="41">
        <v>72692</v>
      </c>
      <c r="AJ35" s="43">
        <v>62024</v>
      </c>
      <c r="AK35" s="43">
        <v>49</v>
      </c>
      <c r="AL35" s="43">
        <v>0</v>
      </c>
      <c r="AM35" s="39">
        <f t="shared" si="7"/>
        <v>134765</v>
      </c>
      <c r="AN35" s="41">
        <v>87051</v>
      </c>
      <c r="AO35" s="43">
        <v>62856</v>
      </c>
      <c r="AP35" s="43">
        <v>195</v>
      </c>
      <c r="AQ35" s="43">
        <v>3</v>
      </c>
      <c r="AR35" s="39">
        <f t="shared" si="1"/>
        <v>150105</v>
      </c>
      <c r="AS35" s="41">
        <v>73365</v>
      </c>
      <c r="AT35" s="43">
        <v>55587</v>
      </c>
      <c r="AU35" s="43">
        <v>267</v>
      </c>
      <c r="AV35" s="43">
        <v>70</v>
      </c>
      <c r="AW35" s="39">
        <f t="shared" si="8"/>
        <v>129289</v>
      </c>
      <c r="AX35" s="41">
        <v>84975</v>
      </c>
      <c r="AY35" s="43">
        <v>66619</v>
      </c>
      <c r="AZ35" s="43">
        <v>74</v>
      </c>
      <c r="BA35" s="43">
        <v>0</v>
      </c>
      <c r="BB35" s="39">
        <f t="shared" si="9"/>
        <v>151668</v>
      </c>
      <c r="BC35" s="41">
        <v>88293</v>
      </c>
      <c r="BD35" s="43">
        <v>72994</v>
      </c>
      <c r="BE35" s="43">
        <v>177</v>
      </c>
      <c r="BF35" s="43">
        <v>0</v>
      </c>
      <c r="BG35" s="39">
        <f t="shared" si="10"/>
        <v>161464</v>
      </c>
      <c r="BH35" s="41">
        <v>0</v>
      </c>
      <c r="BI35" s="43">
        <v>0</v>
      </c>
      <c r="BJ35" s="43">
        <v>0</v>
      </c>
      <c r="BK35" s="43">
        <v>0</v>
      </c>
      <c r="BL35" s="39">
        <f t="shared" si="11"/>
        <v>0</v>
      </c>
      <c r="BM35" s="41">
        <v>0</v>
      </c>
      <c r="BN35" s="43">
        <v>0</v>
      </c>
      <c r="BO35" s="43">
        <v>0</v>
      </c>
      <c r="BP35" s="43">
        <v>0</v>
      </c>
      <c r="BQ35" s="39">
        <f t="shared" si="12"/>
        <v>0</v>
      </c>
      <c r="BR35" s="41">
        <f t="shared" si="15"/>
        <v>803157</v>
      </c>
      <c r="BS35" s="269">
        <f t="shared" si="15"/>
        <v>902760</v>
      </c>
      <c r="BT35" s="43">
        <f t="shared" si="15"/>
        <v>1766</v>
      </c>
      <c r="BU35" s="43">
        <f t="shared" si="15"/>
        <v>73</v>
      </c>
      <c r="BV35" s="41">
        <f t="shared" si="2"/>
        <v>1707756</v>
      </c>
      <c r="BW35" s="9"/>
      <c r="BX35" s="208"/>
    </row>
    <row r="36" spans="1:78" x14ac:dyDescent="0.2">
      <c r="A36" s="202">
        <v>30</v>
      </c>
      <c r="B36" s="203" t="s">
        <v>269</v>
      </c>
      <c r="D36" s="204"/>
      <c r="E36" s="268">
        <v>530935</v>
      </c>
      <c r="F36" s="269">
        <v>7513932</v>
      </c>
      <c r="G36" s="269">
        <v>7541</v>
      </c>
      <c r="H36" s="269">
        <v>89</v>
      </c>
      <c r="I36" s="39">
        <f t="shared" si="0"/>
        <v>8052497</v>
      </c>
      <c r="J36" s="41">
        <v>34532</v>
      </c>
      <c r="K36" s="43">
        <v>842756</v>
      </c>
      <c r="L36" s="43">
        <v>3</v>
      </c>
      <c r="M36" s="43">
        <v>0</v>
      </c>
      <c r="N36" s="39">
        <f t="shared" si="14"/>
        <v>877291</v>
      </c>
      <c r="O36" s="43">
        <v>36142</v>
      </c>
      <c r="P36" s="43">
        <v>30668</v>
      </c>
      <c r="Q36" s="43">
        <v>373</v>
      </c>
      <c r="R36" s="43">
        <v>0</v>
      </c>
      <c r="S36" s="39">
        <f t="shared" si="17"/>
        <v>67183</v>
      </c>
      <c r="T36" s="41">
        <v>40271</v>
      </c>
      <c r="U36" s="43">
        <v>225000</v>
      </c>
      <c r="V36" s="43">
        <v>1296</v>
      </c>
      <c r="W36" s="43">
        <v>0</v>
      </c>
      <c r="X36" s="39">
        <f t="shared" si="4"/>
        <v>266567</v>
      </c>
      <c r="Y36" s="41">
        <v>40131</v>
      </c>
      <c r="Z36" s="43">
        <v>744276</v>
      </c>
      <c r="AA36" s="43">
        <v>1178</v>
      </c>
      <c r="AB36" s="43">
        <v>1</v>
      </c>
      <c r="AC36" s="39">
        <f t="shared" si="5"/>
        <v>785586</v>
      </c>
      <c r="AD36" s="41">
        <v>47254</v>
      </c>
      <c r="AE36" s="43">
        <v>1822059</v>
      </c>
      <c r="AF36" s="43">
        <v>2066</v>
      </c>
      <c r="AG36" s="43">
        <v>1</v>
      </c>
      <c r="AH36" s="39">
        <f>SUM(AD36:AG36)</f>
        <v>1871380</v>
      </c>
      <c r="AI36" s="41">
        <v>37249</v>
      </c>
      <c r="AJ36" s="43">
        <v>191665</v>
      </c>
      <c r="AK36" s="43">
        <v>1331</v>
      </c>
      <c r="AL36" s="43">
        <v>7</v>
      </c>
      <c r="AM36" s="39">
        <f t="shared" si="7"/>
        <v>230252</v>
      </c>
      <c r="AN36" s="41">
        <v>44257</v>
      </c>
      <c r="AO36" s="43">
        <v>989373</v>
      </c>
      <c r="AP36" s="43">
        <v>541</v>
      </c>
      <c r="AQ36" s="43">
        <v>0</v>
      </c>
      <c r="AR36" s="39">
        <f t="shared" si="1"/>
        <v>1034171</v>
      </c>
      <c r="AS36" s="41">
        <v>40090</v>
      </c>
      <c r="AT36" s="43">
        <v>934184</v>
      </c>
      <c r="AU36" s="43">
        <v>221</v>
      </c>
      <c r="AV36" s="43">
        <v>19</v>
      </c>
      <c r="AW36" s="39">
        <f t="shared" si="8"/>
        <v>974514</v>
      </c>
      <c r="AX36" s="41">
        <v>50402</v>
      </c>
      <c r="AY36" s="43">
        <v>268026</v>
      </c>
      <c r="AZ36" s="43">
        <v>407</v>
      </c>
      <c r="BA36" s="43">
        <v>3</v>
      </c>
      <c r="BB36" s="39">
        <f t="shared" si="9"/>
        <v>318838</v>
      </c>
      <c r="BC36" s="41">
        <v>60221</v>
      </c>
      <c r="BD36" s="43">
        <v>511200</v>
      </c>
      <c r="BE36" s="43">
        <v>-840</v>
      </c>
      <c r="BF36" s="43">
        <v>0</v>
      </c>
      <c r="BG36" s="39">
        <f t="shared" si="10"/>
        <v>570581</v>
      </c>
      <c r="BH36" s="41">
        <v>0</v>
      </c>
      <c r="BI36" s="43">
        <v>0</v>
      </c>
      <c r="BJ36" s="43">
        <v>0</v>
      </c>
      <c r="BK36" s="43">
        <v>0</v>
      </c>
      <c r="BL36" s="39">
        <f t="shared" si="11"/>
        <v>0</v>
      </c>
      <c r="BM36" s="41">
        <v>0</v>
      </c>
      <c r="BN36" s="43">
        <v>0</v>
      </c>
      <c r="BO36" s="43">
        <v>0</v>
      </c>
      <c r="BP36" s="43">
        <v>0</v>
      </c>
      <c r="BQ36" s="39">
        <f t="shared" si="12"/>
        <v>0</v>
      </c>
      <c r="BR36" s="41">
        <f t="shared" si="15"/>
        <v>430549</v>
      </c>
      <c r="BS36" s="269">
        <f t="shared" si="15"/>
        <v>6559207</v>
      </c>
      <c r="BT36" s="43">
        <f t="shared" si="15"/>
        <v>6576</v>
      </c>
      <c r="BU36" s="43">
        <f t="shared" si="15"/>
        <v>31</v>
      </c>
      <c r="BV36" s="41">
        <f t="shared" si="2"/>
        <v>6996363</v>
      </c>
      <c r="BW36" s="9"/>
      <c r="BX36" s="208"/>
      <c r="BZ36" s="43"/>
    </row>
    <row r="37" spans="1:78" x14ac:dyDescent="0.2">
      <c r="A37" s="202">
        <v>31</v>
      </c>
      <c r="B37" s="180" t="s">
        <v>220</v>
      </c>
      <c r="D37" s="215"/>
      <c r="E37" s="268">
        <v>198825</v>
      </c>
      <c r="F37" s="269">
        <v>2025730</v>
      </c>
      <c r="G37" s="269">
        <v>4224</v>
      </c>
      <c r="H37" s="269">
        <v>0</v>
      </c>
      <c r="I37" s="39">
        <f t="shared" si="0"/>
        <v>2228779</v>
      </c>
      <c r="J37" s="41">
        <v>15388</v>
      </c>
      <c r="K37" s="43">
        <v>13938</v>
      </c>
      <c r="L37" s="43">
        <v>72</v>
      </c>
      <c r="M37" s="43">
        <v>0</v>
      </c>
      <c r="N37" s="39">
        <f t="shared" si="14"/>
        <v>29398</v>
      </c>
      <c r="O37" s="43">
        <v>16666</v>
      </c>
      <c r="P37" s="43">
        <v>219455</v>
      </c>
      <c r="Q37" s="43">
        <v>307</v>
      </c>
      <c r="R37" s="43">
        <v>0</v>
      </c>
      <c r="S37" s="39">
        <f t="shared" si="17"/>
        <v>236428</v>
      </c>
      <c r="T37" s="41">
        <v>15258</v>
      </c>
      <c r="U37" s="43">
        <v>105476</v>
      </c>
      <c r="V37" s="43">
        <v>221</v>
      </c>
      <c r="W37" s="43">
        <v>0</v>
      </c>
      <c r="X37" s="39">
        <f t="shared" si="4"/>
        <v>120955</v>
      </c>
      <c r="Y37" s="41">
        <v>16077</v>
      </c>
      <c r="Z37" s="43">
        <v>94055</v>
      </c>
      <c r="AA37" s="43">
        <v>258</v>
      </c>
      <c r="AB37" s="43">
        <v>0</v>
      </c>
      <c r="AC37" s="39">
        <f t="shared" si="5"/>
        <v>110390</v>
      </c>
      <c r="AD37" s="41">
        <v>16832</v>
      </c>
      <c r="AE37" s="43">
        <v>87256</v>
      </c>
      <c r="AF37" s="43">
        <v>236</v>
      </c>
      <c r="AG37" s="43">
        <v>0</v>
      </c>
      <c r="AH37" s="39">
        <f t="shared" si="6"/>
        <v>104324</v>
      </c>
      <c r="AI37" s="41">
        <v>17925</v>
      </c>
      <c r="AJ37" s="43">
        <v>286705</v>
      </c>
      <c r="AK37" s="43">
        <v>455</v>
      </c>
      <c r="AL37" s="43">
        <v>0</v>
      </c>
      <c r="AM37" s="39">
        <f t="shared" si="7"/>
        <v>305085</v>
      </c>
      <c r="AN37" s="41">
        <v>17846</v>
      </c>
      <c r="AO37" s="43">
        <v>109300</v>
      </c>
      <c r="AP37" s="43">
        <v>229</v>
      </c>
      <c r="AQ37" s="43">
        <v>0</v>
      </c>
      <c r="AR37" s="39">
        <f t="shared" si="1"/>
        <v>127375</v>
      </c>
      <c r="AS37" s="41">
        <v>16164</v>
      </c>
      <c r="AT37" s="43">
        <v>668565</v>
      </c>
      <c r="AU37" s="43">
        <v>299</v>
      </c>
      <c r="AV37" s="43">
        <v>0</v>
      </c>
      <c r="AW37" s="39">
        <f t="shared" si="8"/>
        <v>685028</v>
      </c>
      <c r="AX37" s="41">
        <v>16490</v>
      </c>
      <c r="AY37" s="43">
        <v>125650</v>
      </c>
      <c r="AZ37" s="43">
        <v>111</v>
      </c>
      <c r="BA37" s="43">
        <v>0</v>
      </c>
      <c r="BB37" s="39">
        <f t="shared" si="9"/>
        <v>142251</v>
      </c>
      <c r="BC37" s="41">
        <v>14092</v>
      </c>
      <c r="BD37" s="43">
        <v>90173</v>
      </c>
      <c r="BE37" s="43">
        <v>210</v>
      </c>
      <c r="BF37" s="43">
        <v>0</v>
      </c>
      <c r="BG37" s="39">
        <f t="shared" si="10"/>
        <v>104475</v>
      </c>
      <c r="BH37" s="41">
        <v>0</v>
      </c>
      <c r="BI37" s="43">
        <v>0</v>
      </c>
      <c r="BJ37" s="43">
        <v>0</v>
      </c>
      <c r="BK37" s="43">
        <v>0</v>
      </c>
      <c r="BL37" s="39">
        <f t="shared" si="11"/>
        <v>0</v>
      </c>
      <c r="BM37" s="41">
        <v>0</v>
      </c>
      <c r="BN37" s="43">
        <v>0</v>
      </c>
      <c r="BO37" s="43">
        <v>0</v>
      </c>
      <c r="BP37" s="43">
        <v>0</v>
      </c>
      <c r="BQ37" s="39">
        <f t="shared" si="12"/>
        <v>0</v>
      </c>
      <c r="BR37" s="41">
        <f t="shared" si="15"/>
        <v>162738</v>
      </c>
      <c r="BS37" s="269">
        <f t="shared" si="15"/>
        <v>1800573</v>
      </c>
      <c r="BT37" s="43">
        <f t="shared" si="15"/>
        <v>2398</v>
      </c>
      <c r="BU37" s="43">
        <f t="shared" si="15"/>
        <v>0</v>
      </c>
      <c r="BV37" s="41">
        <f t="shared" si="2"/>
        <v>1965709</v>
      </c>
      <c r="BW37" s="9"/>
      <c r="BX37" s="208"/>
      <c r="BZ37" s="43"/>
    </row>
    <row r="38" spans="1:78" x14ac:dyDescent="0.2">
      <c r="A38" s="202">
        <v>32</v>
      </c>
      <c r="B38" s="180" t="s">
        <v>270</v>
      </c>
      <c r="D38" s="204"/>
      <c r="E38" s="268">
        <v>561330</v>
      </c>
      <c r="F38" s="269">
        <v>1052672</v>
      </c>
      <c r="G38" s="269">
        <v>6881</v>
      </c>
      <c r="H38" s="269">
        <v>1</v>
      </c>
      <c r="I38" s="39">
        <f t="shared" si="0"/>
        <v>1620884</v>
      </c>
      <c r="J38" s="41">
        <v>27245</v>
      </c>
      <c r="K38" s="43">
        <v>218820</v>
      </c>
      <c r="L38" s="43">
        <v>944</v>
      </c>
      <c r="M38" s="43">
        <v>0</v>
      </c>
      <c r="N38" s="39">
        <f t="shared" si="14"/>
        <v>247009</v>
      </c>
      <c r="O38" s="43">
        <v>32341</v>
      </c>
      <c r="P38" s="43">
        <v>112743</v>
      </c>
      <c r="Q38" s="43">
        <v>204</v>
      </c>
      <c r="R38" s="43">
        <v>0</v>
      </c>
      <c r="S38" s="39">
        <f t="shared" si="17"/>
        <v>145288</v>
      </c>
      <c r="T38" s="41">
        <v>22715</v>
      </c>
      <c r="U38" s="43">
        <v>25790</v>
      </c>
      <c r="V38" s="43">
        <v>4</v>
      </c>
      <c r="W38" s="43">
        <v>0</v>
      </c>
      <c r="X38" s="39">
        <f t="shared" si="4"/>
        <v>48509</v>
      </c>
      <c r="Y38" s="41">
        <v>27493</v>
      </c>
      <c r="Z38" s="43">
        <v>241509</v>
      </c>
      <c r="AA38" s="43">
        <v>381</v>
      </c>
      <c r="AB38" s="43">
        <v>0</v>
      </c>
      <c r="AC38" s="39">
        <f t="shared" si="5"/>
        <v>269383</v>
      </c>
      <c r="AD38" s="41">
        <v>25967</v>
      </c>
      <c r="AE38" s="43">
        <v>342</v>
      </c>
      <c r="AF38" s="43">
        <v>84</v>
      </c>
      <c r="AG38" s="43">
        <v>0</v>
      </c>
      <c r="AH38" s="39">
        <f t="shared" si="6"/>
        <v>26393</v>
      </c>
      <c r="AI38" s="41">
        <v>24845</v>
      </c>
      <c r="AJ38" s="43">
        <v>247</v>
      </c>
      <c r="AK38" s="43">
        <v>148</v>
      </c>
      <c r="AL38" s="43">
        <v>0</v>
      </c>
      <c r="AM38" s="39">
        <f t="shared" si="7"/>
        <v>25240</v>
      </c>
      <c r="AN38" s="41">
        <v>26673</v>
      </c>
      <c r="AO38" s="43">
        <v>207509</v>
      </c>
      <c r="AP38" s="43">
        <v>361</v>
      </c>
      <c r="AQ38" s="43">
        <v>0</v>
      </c>
      <c r="AR38" s="39">
        <f t="shared" si="1"/>
        <v>234543</v>
      </c>
      <c r="AS38" s="41">
        <v>31686</v>
      </c>
      <c r="AT38" s="43">
        <v>88</v>
      </c>
      <c r="AU38" s="43">
        <v>82</v>
      </c>
      <c r="AV38" s="43">
        <v>1</v>
      </c>
      <c r="AW38" s="39">
        <f t="shared" si="8"/>
        <v>31857</v>
      </c>
      <c r="AX38" s="41">
        <v>25445</v>
      </c>
      <c r="AY38" s="43">
        <v>6687</v>
      </c>
      <c r="AZ38" s="43">
        <v>254</v>
      </c>
      <c r="BA38" s="43">
        <v>0</v>
      </c>
      <c r="BB38" s="39">
        <f t="shared" si="9"/>
        <v>32386</v>
      </c>
      <c r="BC38" s="41">
        <v>89340</v>
      </c>
      <c r="BD38" s="43">
        <v>214444</v>
      </c>
      <c r="BE38" s="43">
        <v>1142</v>
      </c>
      <c r="BF38" s="43">
        <v>0</v>
      </c>
      <c r="BG38" s="39">
        <f t="shared" si="10"/>
        <v>304926</v>
      </c>
      <c r="BH38" s="41">
        <v>0</v>
      </c>
      <c r="BI38" s="43">
        <v>0</v>
      </c>
      <c r="BJ38" s="43">
        <v>0</v>
      </c>
      <c r="BK38" s="43">
        <v>0</v>
      </c>
      <c r="BL38" s="39">
        <f t="shared" si="11"/>
        <v>0</v>
      </c>
      <c r="BM38" s="41">
        <v>0</v>
      </c>
      <c r="BN38" s="43">
        <v>0</v>
      </c>
      <c r="BO38" s="43">
        <v>0</v>
      </c>
      <c r="BP38" s="43">
        <v>0</v>
      </c>
      <c r="BQ38" s="39">
        <f t="shared" si="12"/>
        <v>0</v>
      </c>
      <c r="BR38" s="41">
        <f t="shared" si="15"/>
        <v>333750</v>
      </c>
      <c r="BS38" s="269">
        <f t="shared" si="15"/>
        <v>1028179</v>
      </c>
      <c r="BT38" s="43">
        <f t="shared" si="15"/>
        <v>3604</v>
      </c>
      <c r="BU38" s="43">
        <f t="shared" si="15"/>
        <v>1</v>
      </c>
      <c r="BV38" s="41">
        <f t="shared" si="2"/>
        <v>1365534</v>
      </c>
      <c r="BW38" s="9"/>
      <c r="BX38" s="208"/>
      <c r="BZ38" s="43"/>
    </row>
    <row r="39" spans="1:78" x14ac:dyDescent="0.2">
      <c r="A39" s="202">
        <v>33</v>
      </c>
      <c r="B39" s="203" t="s">
        <v>222</v>
      </c>
      <c r="D39" s="204"/>
      <c r="E39" s="268">
        <v>864723</v>
      </c>
      <c r="F39" s="269">
        <v>1499202</v>
      </c>
      <c r="G39" s="269">
        <v>20035</v>
      </c>
      <c r="H39" s="269">
        <v>432</v>
      </c>
      <c r="I39" s="39">
        <f t="shared" si="0"/>
        <v>2384392</v>
      </c>
      <c r="J39" s="41">
        <v>44361</v>
      </c>
      <c r="K39" s="43">
        <v>996606</v>
      </c>
      <c r="L39" s="43">
        <v>406</v>
      </c>
      <c r="M39" s="43">
        <v>7</v>
      </c>
      <c r="N39" s="39">
        <f>SUM(J39:M39)</f>
        <v>1041380</v>
      </c>
      <c r="O39" s="43">
        <v>64944</v>
      </c>
      <c r="P39" s="43">
        <v>14664</v>
      </c>
      <c r="Q39" s="43">
        <v>5626</v>
      </c>
      <c r="R39" s="43">
        <v>0</v>
      </c>
      <c r="S39" s="39">
        <f>SUM(O39:R39)</f>
        <v>85234</v>
      </c>
      <c r="T39" s="41">
        <v>37975</v>
      </c>
      <c r="U39" s="43">
        <v>11382</v>
      </c>
      <c r="V39" s="43">
        <v>-2692</v>
      </c>
      <c r="W39" s="43">
        <v>0</v>
      </c>
      <c r="X39" s="39">
        <f t="shared" si="4"/>
        <v>46665</v>
      </c>
      <c r="Y39" s="41">
        <v>92749</v>
      </c>
      <c r="Z39" s="43">
        <v>68112</v>
      </c>
      <c r="AA39" s="43">
        <v>751</v>
      </c>
      <c r="AB39" s="43">
        <v>84</v>
      </c>
      <c r="AC39" s="39">
        <f t="shared" si="5"/>
        <v>161696</v>
      </c>
      <c r="AD39" s="41">
        <v>73183</v>
      </c>
      <c r="AE39" s="43">
        <v>882</v>
      </c>
      <c r="AF39" s="43">
        <v>252</v>
      </c>
      <c r="AG39" s="43">
        <v>0</v>
      </c>
      <c r="AH39" s="39">
        <f>SUM(AD39:AG39)</f>
        <v>74317</v>
      </c>
      <c r="AI39" s="41">
        <v>69083</v>
      </c>
      <c r="AJ39" s="43">
        <v>5568</v>
      </c>
      <c r="AK39" s="43">
        <v>585</v>
      </c>
      <c r="AL39" s="43">
        <v>0</v>
      </c>
      <c r="AM39" s="39">
        <f t="shared" si="7"/>
        <v>75236</v>
      </c>
      <c r="AN39" s="41">
        <v>87047</v>
      </c>
      <c r="AO39" s="43">
        <v>86232</v>
      </c>
      <c r="AP39" s="43">
        <v>8938</v>
      </c>
      <c r="AQ39" s="43">
        <v>0</v>
      </c>
      <c r="AR39" s="39">
        <f t="shared" si="1"/>
        <v>182217</v>
      </c>
      <c r="AS39" s="41">
        <v>70269</v>
      </c>
      <c r="AT39" s="43">
        <v>16648</v>
      </c>
      <c r="AU39" s="43">
        <v>399</v>
      </c>
      <c r="AV39" s="43">
        <v>0</v>
      </c>
      <c r="AW39" s="39">
        <f t="shared" si="8"/>
        <v>87316</v>
      </c>
      <c r="AX39" s="41">
        <v>66781</v>
      </c>
      <c r="AY39" s="43">
        <v>40172</v>
      </c>
      <c r="AZ39" s="43">
        <v>637</v>
      </c>
      <c r="BA39" s="43">
        <v>0</v>
      </c>
      <c r="BB39" s="39">
        <f t="shared" si="9"/>
        <v>107590</v>
      </c>
      <c r="BC39" s="41">
        <v>37961</v>
      </c>
      <c r="BD39" s="43">
        <v>86572</v>
      </c>
      <c r="BE39" s="43">
        <v>599</v>
      </c>
      <c r="BF39" s="43">
        <v>0</v>
      </c>
      <c r="BG39" s="39">
        <f t="shared" si="10"/>
        <v>125132</v>
      </c>
      <c r="BH39" s="41">
        <v>0</v>
      </c>
      <c r="BI39" s="43">
        <v>0</v>
      </c>
      <c r="BJ39" s="43">
        <v>0</v>
      </c>
      <c r="BK39" s="43">
        <v>0</v>
      </c>
      <c r="BL39" s="39">
        <f t="shared" si="11"/>
        <v>0</v>
      </c>
      <c r="BM39" s="41">
        <v>0</v>
      </c>
      <c r="BN39" s="43">
        <v>0</v>
      </c>
      <c r="BO39" s="43">
        <v>0</v>
      </c>
      <c r="BP39" s="43">
        <v>0</v>
      </c>
      <c r="BQ39" s="39">
        <f t="shared" si="12"/>
        <v>0</v>
      </c>
      <c r="BR39" s="41">
        <f t="shared" si="15"/>
        <v>644353</v>
      </c>
      <c r="BS39" s="269">
        <f t="shared" si="15"/>
        <v>1326838</v>
      </c>
      <c r="BT39" s="43">
        <f t="shared" si="15"/>
        <v>15501</v>
      </c>
      <c r="BU39" s="43">
        <f t="shared" si="15"/>
        <v>91</v>
      </c>
      <c r="BV39" s="41">
        <f>SUM(BR39:BU39)</f>
        <v>1986783</v>
      </c>
      <c r="BW39" s="9"/>
      <c r="BX39" s="208"/>
      <c r="BZ39" s="43"/>
    </row>
    <row r="40" spans="1:78" ht="12" customHeight="1" x14ac:dyDescent="0.2">
      <c r="A40" s="202">
        <v>34</v>
      </c>
      <c r="B40" s="180" t="s">
        <v>271</v>
      </c>
      <c r="D40" s="204"/>
      <c r="E40" s="268">
        <v>1684263</v>
      </c>
      <c r="F40" s="269">
        <v>8259005</v>
      </c>
      <c r="G40" s="269">
        <v>11817</v>
      </c>
      <c r="H40" s="269">
        <v>14521</v>
      </c>
      <c r="I40" s="39">
        <f t="shared" si="0"/>
        <v>9969606</v>
      </c>
      <c r="J40" s="41">
        <v>114852</v>
      </c>
      <c r="K40" s="43">
        <v>1113915</v>
      </c>
      <c r="L40" s="43">
        <v>0</v>
      </c>
      <c r="M40" s="43">
        <v>0</v>
      </c>
      <c r="N40" s="39">
        <f t="shared" si="14"/>
        <v>1228767</v>
      </c>
      <c r="O40" s="43">
        <v>132340</v>
      </c>
      <c r="P40" s="43">
        <v>365422</v>
      </c>
      <c r="Q40" s="43">
        <v>509</v>
      </c>
      <c r="R40" s="43">
        <v>0</v>
      </c>
      <c r="S40" s="39">
        <f t="shared" si="17"/>
        <v>498271</v>
      </c>
      <c r="T40" s="41">
        <v>129816</v>
      </c>
      <c r="U40" s="43">
        <v>672401</v>
      </c>
      <c r="V40" s="43">
        <v>14</v>
      </c>
      <c r="W40" s="43">
        <v>3</v>
      </c>
      <c r="X40" s="39">
        <f t="shared" si="4"/>
        <v>802234</v>
      </c>
      <c r="Y40" s="41">
        <v>141324</v>
      </c>
      <c r="Z40" s="43">
        <v>705406</v>
      </c>
      <c r="AA40" s="43">
        <v>163</v>
      </c>
      <c r="AB40" s="43">
        <v>0</v>
      </c>
      <c r="AC40" s="39">
        <f t="shared" si="5"/>
        <v>846893</v>
      </c>
      <c r="AD40" s="41">
        <v>130851</v>
      </c>
      <c r="AE40" s="43">
        <v>328117</v>
      </c>
      <c r="AF40" s="43">
        <v>-52</v>
      </c>
      <c r="AG40" s="43">
        <v>0</v>
      </c>
      <c r="AH40" s="39">
        <f t="shared" si="6"/>
        <v>458916</v>
      </c>
      <c r="AI40" s="41">
        <v>123023</v>
      </c>
      <c r="AJ40" s="43">
        <v>399167</v>
      </c>
      <c r="AK40" s="43">
        <v>27</v>
      </c>
      <c r="AL40" s="43">
        <v>0</v>
      </c>
      <c r="AM40" s="39">
        <f t="shared" si="7"/>
        <v>522217</v>
      </c>
      <c r="AN40" s="41">
        <v>154894</v>
      </c>
      <c r="AO40" s="43">
        <v>202814</v>
      </c>
      <c r="AP40" s="43">
        <v>20</v>
      </c>
      <c r="AQ40" s="43">
        <v>0</v>
      </c>
      <c r="AR40" s="39">
        <f t="shared" si="1"/>
        <v>357728</v>
      </c>
      <c r="AS40" s="41">
        <v>150695</v>
      </c>
      <c r="AT40" s="43">
        <v>347296</v>
      </c>
      <c r="AU40" s="43">
        <v>8329</v>
      </c>
      <c r="AV40" s="43">
        <v>0</v>
      </c>
      <c r="AW40" s="39">
        <f t="shared" si="8"/>
        <v>506320</v>
      </c>
      <c r="AX40" s="41">
        <v>128092</v>
      </c>
      <c r="AY40" s="43">
        <v>830909</v>
      </c>
      <c r="AZ40" s="43">
        <v>884</v>
      </c>
      <c r="BA40" s="43">
        <v>0</v>
      </c>
      <c r="BB40" s="39">
        <f t="shared" si="9"/>
        <v>959885</v>
      </c>
      <c r="BC40" s="41">
        <v>136518</v>
      </c>
      <c r="BD40" s="43">
        <v>725871</v>
      </c>
      <c r="BE40" s="43">
        <v>362</v>
      </c>
      <c r="BF40" s="43">
        <v>0</v>
      </c>
      <c r="BG40" s="39">
        <f t="shared" si="10"/>
        <v>862751</v>
      </c>
      <c r="BH40" s="41">
        <v>0</v>
      </c>
      <c r="BI40" s="43">
        <v>0</v>
      </c>
      <c r="BJ40" s="43">
        <v>0</v>
      </c>
      <c r="BK40" s="43">
        <v>0</v>
      </c>
      <c r="BL40" s="39">
        <f t="shared" si="11"/>
        <v>0</v>
      </c>
      <c r="BM40" s="41">
        <v>0</v>
      </c>
      <c r="BN40" s="43">
        <v>0</v>
      </c>
      <c r="BO40" s="43">
        <v>0</v>
      </c>
      <c r="BP40" s="43">
        <v>0</v>
      </c>
      <c r="BQ40" s="39">
        <f t="shared" si="12"/>
        <v>0</v>
      </c>
      <c r="BR40" s="41">
        <f t="shared" si="15"/>
        <v>1342405</v>
      </c>
      <c r="BS40" s="269">
        <f t="shared" si="15"/>
        <v>5691318</v>
      </c>
      <c r="BT40" s="43">
        <f t="shared" si="15"/>
        <v>10256</v>
      </c>
      <c r="BU40" s="43">
        <f t="shared" si="15"/>
        <v>3</v>
      </c>
      <c r="BV40" s="41">
        <f t="shared" si="2"/>
        <v>7043982</v>
      </c>
      <c r="BW40" s="9"/>
      <c r="BX40" s="208"/>
      <c r="BZ40" s="43"/>
    </row>
    <row r="41" spans="1:78" x14ac:dyDescent="0.2">
      <c r="A41" s="202">
        <v>35</v>
      </c>
      <c r="B41" s="203" t="s">
        <v>224</v>
      </c>
      <c r="D41" s="204"/>
      <c r="E41" s="268">
        <v>1348297</v>
      </c>
      <c r="F41" s="269">
        <f>62515214-2614</f>
        <v>62512600</v>
      </c>
      <c r="G41" s="269">
        <v>21367</v>
      </c>
      <c r="H41" s="269">
        <v>6347</v>
      </c>
      <c r="I41" s="39">
        <f t="shared" si="0"/>
        <v>63888611</v>
      </c>
      <c r="J41" s="41">
        <v>51047</v>
      </c>
      <c r="K41" s="43">
        <v>2750093</v>
      </c>
      <c r="L41" s="43">
        <v>79</v>
      </c>
      <c r="M41" s="43">
        <v>0</v>
      </c>
      <c r="N41" s="39">
        <f t="shared" si="14"/>
        <v>2801219</v>
      </c>
      <c r="O41" s="43">
        <v>83842</v>
      </c>
      <c r="P41" s="43">
        <v>7264640</v>
      </c>
      <c r="Q41" s="43">
        <v>997</v>
      </c>
      <c r="R41" s="43">
        <v>25</v>
      </c>
      <c r="S41" s="39">
        <f t="shared" si="17"/>
        <v>7349504</v>
      </c>
      <c r="T41" s="41">
        <v>99081</v>
      </c>
      <c r="U41" s="43">
        <v>2940710</v>
      </c>
      <c r="V41" s="43">
        <v>294</v>
      </c>
      <c r="W41" s="43">
        <v>0</v>
      </c>
      <c r="X41" s="39">
        <f t="shared" si="4"/>
        <v>3040085</v>
      </c>
      <c r="Y41" s="41">
        <v>71867</v>
      </c>
      <c r="Z41" s="43">
        <v>8264971</v>
      </c>
      <c r="AA41" s="43">
        <v>1115</v>
      </c>
      <c r="AB41" s="43">
        <v>2</v>
      </c>
      <c r="AC41" s="39">
        <f t="shared" si="5"/>
        <v>8337955</v>
      </c>
      <c r="AD41" s="41">
        <v>105110</v>
      </c>
      <c r="AE41" s="43">
        <v>5682722</v>
      </c>
      <c r="AF41" s="43">
        <v>1352</v>
      </c>
      <c r="AG41" s="43">
        <v>8</v>
      </c>
      <c r="AH41" s="39">
        <f>SUM(AD41:AG41)</f>
        <v>5789192</v>
      </c>
      <c r="AI41" s="41">
        <v>66056</v>
      </c>
      <c r="AJ41" s="43">
        <v>2687767</v>
      </c>
      <c r="AK41" s="43">
        <v>1125</v>
      </c>
      <c r="AL41" s="43">
        <v>0</v>
      </c>
      <c r="AM41" s="39">
        <f t="shared" si="7"/>
        <v>2754948</v>
      </c>
      <c r="AN41" s="41">
        <v>79589</v>
      </c>
      <c r="AO41" s="43">
        <v>7792822</v>
      </c>
      <c r="AP41" s="43">
        <v>1162</v>
      </c>
      <c r="AQ41" s="43">
        <v>9</v>
      </c>
      <c r="AR41" s="39">
        <f t="shared" si="1"/>
        <v>7873582</v>
      </c>
      <c r="AS41" s="41">
        <v>106392</v>
      </c>
      <c r="AT41" s="43">
        <v>7469428</v>
      </c>
      <c r="AU41" s="43">
        <v>1000</v>
      </c>
      <c r="AV41" s="43">
        <v>0</v>
      </c>
      <c r="AW41" s="39">
        <f t="shared" si="8"/>
        <v>7576820</v>
      </c>
      <c r="AX41" s="41">
        <v>111324</v>
      </c>
      <c r="AY41" s="43">
        <v>2538602</v>
      </c>
      <c r="AZ41" s="43">
        <v>916</v>
      </c>
      <c r="BA41" s="43">
        <v>0</v>
      </c>
      <c r="BB41" s="39">
        <f t="shared" si="9"/>
        <v>2650842</v>
      </c>
      <c r="BC41" s="41">
        <v>47154</v>
      </c>
      <c r="BD41" s="43">
        <v>7997184</v>
      </c>
      <c r="BE41" s="43">
        <v>504</v>
      </c>
      <c r="BF41" s="43">
        <v>3</v>
      </c>
      <c r="BG41" s="39">
        <f t="shared" si="10"/>
        <v>8044845</v>
      </c>
      <c r="BH41" s="41">
        <v>0</v>
      </c>
      <c r="BI41" s="43">
        <v>0</v>
      </c>
      <c r="BJ41" s="43">
        <v>0</v>
      </c>
      <c r="BK41" s="43">
        <v>0</v>
      </c>
      <c r="BL41" s="39">
        <f t="shared" si="11"/>
        <v>0</v>
      </c>
      <c r="BM41" s="41">
        <v>0</v>
      </c>
      <c r="BN41" s="43">
        <v>0</v>
      </c>
      <c r="BO41" s="43">
        <v>0</v>
      </c>
      <c r="BP41" s="43">
        <v>0</v>
      </c>
      <c r="BQ41" s="39">
        <f t="shared" si="12"/>
        <v>0</v>
      </c>
      <c r="BR41" s="41">
        <f t="shared" si="15"/>
        <v>821462</v>
      </c>
      <c r="BS41" s="269">
        <f t="shared" si="15"/>
        <v>55388939</v>
      </c>
      <c r="BT41" s="43">
        <f t="shared" si="15"/>
        <v>8544</v>
      </c>
      <c r="BU41" s="43">
        <f t="shared" si="15"/>
        <v>47</v>
      </c>
      <c r="BV41" s="41">
        <f t="shared" si="2"/>
        <v>56218992</v>
      </c>
      <c r="BW41" s="9"/>
      <c r="BX41" s="208"/>
      <c r="BZ41" s="43"/>
    </row>
    <row r="42" spans="1:78" x14ac:dyDescent="0.2">
      <c r="A42" s="202">
        <v>36</v>
      </c>
      <c r="B42" s="203" t="s">
        <v>225</v>
      </c>
      <c r="D42" s="204"/>
      <c r="E42" s="268">
        <v>3705515</v>
      </c>
      <c r="F42" s="269">
        <v>9116654</v>
      </c>
      <c r="G42" s="269">
        <v>2394699</v>
      </c>
      <c r="H42" s="269">
        <v>738</v>
      </c>
      <c r="I42" s="39">
        <f t="shared" si="0"/>
        <v>15217606</v>
      </c>
      <c r="J42" s="41">
        <v>222359</v>
      </c>
      <c r="K42" s="43">
        <v>823699</v>
      </c>
      <c r="L42" s="43">
        <v>72483</v>
      </c>
      <c r="M42" s="43">
        <v>484</v>
      </c>
      <c r="N42" s="39">
        <f t="shared" si="14"/>
        <v>1119025</v>
      </c>
      <c r="O42" s="43">
        <v>259052</v>
      </c>
      <c r="P42" s="43">
        <v>10820</v>
      </c>
      <c r="Q42" s="43">
        <v>95915</v>
      </c>
      <c r="R42" s="43">
        <v>6</v>
      </c>
      <c r="S42" s="39">
        <f t="shared" si="17"/>
        <v>365793</v>
      </c>
      <c r="T42" s="41">
        <v>252724</v>
      </c>
      <c r="U42" s="43">
        <v>778268</v>
      </c>
      <c r="V42" s="43">
        <v>68287</v>
      </c>
      <c r="W42" s="43">
        <v>0</v>
      </c>
      <c r="X42" s="39">
        <f t="shared" si="4"/>
        <v>1099279</v>
      </c>
      <c r="Y42" s="41">
        <v>260129</v>
      </c>
      <c r="Z42" s="43">
        <v>8357</v>
      </c>
      <c r="AA42" s="43">
        <v>97860</v>
      </c>
      <c r="AB42" s="43">
        <v>248</v>
      </c>
      <c r="AC42" s="39">
        <f t="shared" si="5"/>
        <v>366594</v>
      </c>
      <c r="AD42" s="41">
        <v>180163</v>
      </c>
      <c r="AE42" s="43">
        <v>1327367</v>
      </c>
      <c r="AF42" s="43">
        <v>104408</v>
      </c>
      <c r="AG42" s="43">
        <v>0</v>
      </c>
      <c r="AH42" s="39">
        <f t="shared" si="6"/>
        <v>1611938</v>
      </c>
      <c r="AI42" s="41">
        <v>287128</v>
      </c>
      <c r="AJ42" s="43">
        <v>971322</v>
      </c>
      <c r="AK42" s="43">
        <v>299821</v>
      </c>
      <c r="AL42" s="43">
        <v>0</v>
      </c>
      <c r="AM42" s="39">
        <f t="shared" si="7"/>
        <v>1558271</v>
      </c>
      <c r="AN42" s="41">
        <v>300175</v>
      </c>
      <c r="AO42" s="43">
        <v>2542</v>
      </c>
      <c r="AP42" s="43">
        <v>85189</v>
      </c>
      <c r="AQ42" s="43">
        <v>0</v>
      </c>
      <c r="AR42" s="39">
        <f t="shared" si="1"/>
        <v>387906</v>
      </c>
      <c r="AS42" s="41">
        <v>225707</v>
      </c>
      <c r="AT42" s="43">
        <v>1418814</v>
      </c>
      <c r="AU42" s="43">
        <v>90390</v>
      </c>
      <c r="AV42" s="43">
        <v>0</v>
      </c>
      <c r="AW42" s="39">
        <f t="shared" si="8"/>
        <v>1734911</v>
      </c>
      <c r="AX42" s="41">
        <v>277464</v>
      </c>
      <c r="AY42" s="43">
        <v>930242</v>
      </c>
      <c r="AZ42" s="43">
        <v>287536</v>
      </c>
      <c r="BA42" s="43">
        <v>0</v>
      </c>
      <c r="BB42" s="39">
        <f t="shared" si="9"/>
        <v>1495242</v>
      </c>
      <c r="BC42" s="41">
        <v>301817</v>
      </c>
      <c r="BD42" s="43">
        <v>-42073</v>
      </c>
      <c r="BE42" s="43">
        <v>135285</v>
      </c>
      <c r="BF42" s="43">
        <v>0</v>
      </c>
      <c r="BG42" s="39">
        <f t="shared" si="10"/>
        <v>395029</v>
      </c>
      <c r="BH42" s="41">
        <v>0</v>
      </c>
      <c r="BI42" s="43">
        <v>0</v>
      </c>
      <c r="BJ42" s="43">
        <v>0</v>
      </c>
      <c r="BK42" s="43">
        <v>0</v>
      </c>
      <c r="BL42" s="39">
        <f t="shared" si="11"/>
        <v>0</v>
      </c>
      <c r="BM42" s="41">
        <v>0</v>
      </c>
      <c r="BN42" s="43">
        <v>0</v>
      </c>
      <c r="BO42" s="43">
        <v>0</v>
      </c>
      <c r="BP42" s="43">
        <v>0</v>
      </c>
      <c r="BQ42" s="39">
        <f t="shared" si="12"/>
        <v>0</v>
      </c>
      <c r="BR42" s="41">
        <f t="shared" si="15"/>
        <v>2566718</v>
      </c>
      <c r="BS42" s="269">
        <f t="shared" si="15"/>
        <v>6229358</v>
      </c>
      <c r="BT42" s="43">
        <f t="shared" si="15"/>
        <v>1337174</v>
      </c>
      <c r="BU42" s="43">
        <f t="shared" si="15"/>
        <v>738</v>
      </c>
      <c r="BV42" s="41">
        <f t="shared" si="2"/>
        <v>10133988</v>
      </c>
      <c r="BW42" s="9"/>
      <c r="BX42" s="208"/>
      <c r="BZ42" s="43"/>
    </row>
    <row r="43" spans="1:78" x14ac:dyDescent="0.2">
      <c r="A43" s="202">
        <v>37</v>
      </c>
      <c r="B43" s="203" t="s">
        <v>272</v>
      </c>
      <c r="D43" s="204"/>
      <c r="E43" s="268">
        <v>673523</v>
      </c>
      <c r="F43" s="269">
        <v>3624491</v>
      </c>
      <c r="G43" s="269">
        <v>45804</v>
      </c>
      <c r="H43" s="269">
        <v>749</v>
      </c>
      <c r="I43" s="39">
        <f t="shared" si="0"/>
        <v>4344567</v>
      </c>
      <c r="J43" s="41">
        <v>52549</v>
      </c>
      <c r="K43" s="43">
        <v>686320</v>
      </c>
      <c r="L43" s="43">
        <v>370</v>
      </c>
      <c r="M43" s="43">
        <v>0</v>
      </c>
      <c r="N43" s="39">
        <f t="shared" si="14"/>
        <v>739239</v>
      </c>
      <c r="O43" s="43">
        <v>58639</v>
      </c>
      <c r="P43" s="43">
        <v>41198</v>
      </c>
      <c r="Q43" s="43">
        <v>23502</v>
      </c>
      <c r="R43" s="43">
        <v>0</v>
      </c>
      <c r="S43" s="39">
        <f t="shared" si="17"/>
        <v>123339</v>
      </c>
      <c r="T43" s="41">
        <v>55510</v>
      </c>
      <c r="U43" s="43">
        <v>23937</v>
      </c>
      <c r="V43" s="43">
        <v>1516</v>
      </c>
      <c r="W43" s="43">
        <v>0</v>
      </c>
      <c r="X43" s="39">
        <f t="shared" si="4"/>
        <v>80963</v>
      </c>
      <c r="Y43" s="41">
        <v>46245</v>
      </c>
      <c r="Z43" s="43">
        <v>652664</v>
      </c>
      <c r="AA43" s="43">
        <v>1730</v>
      </c>
      <c r="AB43" s="43">
        <v>0</v>
      </c>
      <c r="AC43" s="39">
        <f t="shared" si="5"/>
        <v>700639</v>
      </c>
      <c r="AD43" s="41">
        <v>50163</v>
      </c>
      <c r="AE43" s="43">
        <v>262113</v>
      </c>
      <c r="AF43" s="43">
        <v>2050</v>
      </c>
      <c r="AG43" s="43">
        <v>23</v>
      </c>
      <c r="AH43" s="39">
        <f t="shared" si="6"/>
        <v>314349</v>
      </c>
      <c r="AI43" s="41">
        <v>47288</v>
      </c>
      <c r="AJ43" s="43">
        <v>26454</v>
      </c>
      <c r="AK43" s="43">
        <v>157</v>
      </c>
      <c r="AL43" s="43">
        <v>7</v>
      </c>
      <c r="AM43" s="39">
        <f t="shared" si="7"/>
        <v>73906</v>
      </c>
      <c r="AN43" s="41">
        <v>48652</v>
      </c>
      <c r="AO43" s="43">
        <v>937143</v>
      </c>
      <c r="AP43" s="43">
        <v>8274</v>
      </c>
      <c r="AQ43" s="43">
        <v>25</v>
      </c>
      <c r="AR43" s="39">
        <f t="shared" si="1"/>
        <v>994094</v>
      </c>
      <c r="AS43" s="41">
        <v>51293</v>
      </c>
      <c r="AT43" s="43">
        <v>-1867</v>
      </c>
      <c r="AU43" s="43">
        <v>0</v>
      </c>
      <c r="AV43" s="43">
        <v>36</v>
      </c>
      <c r="AW43" s="39">
        <f t="shared" si="8"/>
        <v>49462</v>
      </c>
      <c r="AX43" s="41">
        <v>51534</v>
      </c>
      <c r="AY43" s="43">
        <v>47131</v>
      </c>
      <c r="AZ43" s="43">
        <v>3677</v>
      </c>
      <c r="BA43" s="43">
        <v>20</v>
      </c>
      <c r="BB43" s="39">
        <f t="shared" si="9"/>
        <v>102362</v>
      </c>
      <c r="BC43" s="41">
        <v>28534</v>
      </c>
      <c r="BD43" s="43">
        <v>696476</v>
      </c>
      <c r="BE43" s="43">
        <v>-333</v>
      </c>
      <c r="BF43" s="43">
        <v>500</v>
      </c>
      <c r="BG43" s="39">
        <f t="shared" si="10"/>
        <v>725177</v>
      </c>
      <c r="BH43" s="41">
        <v>0</v>
      </c>
      <c r="BI43" s="43">
        <v>0</v>
      </c>
      <c r="BJ43" s="43">
        <v>0</v>
      </c>
      <c r="BK43" s="43">
        <v>0</v>
      </c>
      <c r="BL43" s="39">
        <f t="shared" si="11"/>
        <v>0</v>
      </c>
      <c r="BM43" s="41">
        <v>0</v>
      </c>
      <c r="BN43" s="43">
        <v>0</v>
      </c>
      <c r="BO43" s="43">
        <v>0</v>
      </c>
      <c r="BP43" s="43">
        <v>0</v>
      </c>
      <c r="BQ43" s="39">
        <f>SUM(BM43:BP43)</f>
        <v>0</v>
      </c>
      <c r="BR43" s="41">
        <f t="shared" si="15"/>
        <v>490407</v>
      </c>
      <c r="BS43" s="269">
        <f t="shared" si="15"/>
        <v>3371569</v>
      </c>
      <c r="BT43" s="43">
        <f t="shared" si="15"/>
        <v>40943</v>
      </c>
      <c r="BU43" s="43">
        <f t="shared" si="15"/>
        <v>611</v>
      </c>
      <c r="BV43" s="41">
        <f>SUM(BR43:BU43)</f>
        <v>3903530</v>
      </c>
      <c r="BW43" s="9"/>
      <c r="BX43" s="208"/>
      <c r="BZ43" s="43"/>
    </row>
    <row r="44" spans="1:78" x14ac:dyDescent="0.2">
      <c r="A44" s="202">
        <v>38</v>
      </c>
      <c r="B44" s="203" t="s">
        <v>217</v>
      </c>
      <c r="D44" s="204"/>
      <c r="E44" s="268">
        <v>729375</v>
      </c>
      <c r="F44" s="269">
        <v>32560142</v>
      </c>
      <c r="G44" s="269">
        <v>5872</v>
      </c>
      <c r="H44" s="269">
        <v>50164</v>
      </c>
      <c r="I44" s="39">
        <f t="shared" si="0"/>
        <v>33345553</v>
      </c>
      <c r="J44" s="41">
        <v>48090</v>
      </c>
      <c r="K44" s="43">
        <v>970151</v>
      </c>
      <c r="L44" s="43">
        <v>958</v>
      </c>
      <c r="M44" s="43">
        <v>0</v>
      </c>
      <c r="N44" s="39">
        <f t="shared" si="14"/>
        <v>1019199</v>
      </c>
      <c r="O44" s="43">
        <v>60539</v>
      </c>
      <c r="P44" s="43">
        <v>1909703</v>
      </c>
      <c r="Q44" s="43">
        <v>153</v>
      </c>
      <c r="R44" s="43">
        <v>50071</v>
      </c>
      <c r="S44" s="39">
        <f t="shared" si="17"/>
        <v>2020466</v>
      </c>
      <c r="T44" s="41">
        <v>49155</v>
      </c>
      <c r="U44" s="43">
        <v>2014353</v>
      </c>
      <c r="V44" s="43">
        <v>232</v>
      </c>
      <c r="W44" s="43">
        <v>0</v>
      </c>
      <c r="X44" s="39">
        <f t="shared" si="4"/>
        <v>2063740</v>
      </c>
      <c r="Y44" s="41">
        <v>57857</v>
      </c>
      <c r="Z44" s="43">
        <v>4310160</v>
      </c>
      <c r="AA44" s="43">
        <v>294</v>
      </c>
      <c r="AB44" s="43">
        <v>34</v>
      </c>
      <c r="AC44" s="39">
        <f t="shared" si="5"/>
        <v>4368345</v>
      </c>
      <c r="AD44" s="41">
        <v>50992</v>
      </c>
      <c r="AE44" s="43">
        <v>1653962</v>
      </c>
      <c r="AF44" s="43">
        <v>335</v>
      </c>
      <c r="AG44" s="43">
        <v>37</v>
      </c>
      <c r="AH44" s="39">
        <f t="shared" si="6"/>
        <v>1705326</v>
      </c>
      <c r="AI44" s="41">
        <v>53384</v>
      </c>
      <c r="AJ44" s="43">
        <v>1726776</v>
      </c>
      <c r="AK44" s="43">
        <v>637</v>
      </c>
      <c r="AL44" s="43">
        <v>0</v>
      </c>
      <c r="AM44" s="39">
        <f t="shared" si="7"/>
        <v>1780797</v>
      </c>
      <c r="AN44" s="41">
        <v>66299</v>
      </c>
      <c r="AO44" s="43">
        <v>1694115</v>
      </c>
      <c r="AP44" s="43">
        <v>461</v>
      </c>
      <c r="AQ44" s="43">
        <v>0</v>
      </c>
      <c r="AR44" s="39">
        <f t="shared" si="1"/>
        <v>1760875</v>
      </c>
      <c r="AS44" s="41">
        <v>62564</v>
      </c>
      <c r="AT44" s="43">
        <v>3795088</v>
      </c>
      <c r="AU44" s="43">
        <v>602</v>
      </c>
      <c r="AV44" s="43">
        <v>18</v>
      </c>
      <c r="AW44" s="39">
        <f t="shared" si="8"/>
        <v>3858272</v>
      </c>
      <c r="AX44" s="41">
        <v>63331</v>
      </c>
      <c r="AY44" s="43">
        <v>2384210</v>
      </c>
      <c r="AZ44" s="43">
        <v>204</v>
      </c>
      <c r="BA44" s="43">
        <v>0</v>
      </c>
      <c r="BB44" s="39">
        <f t="shared" si="9"/>
        <v>2447745</v>
      </c>
      <c r="BC44" s="41">
        <v>50149</v>
      </c>
      <c r="BD44" s="43">
        <v>1621300</v>
      </c>
      <c r="BE44" s="43">
        <v>437</v>
      </c>
      <c r="BF44" s="43">
        <v>2</v>
      </c>
      <c r="BG44" s="39">
        <f t="shared" si="10"/>
        <v>1671888</v>
      </c>
      <c r="BH44" s="41">
        <v>0</v>
      </c>
      <c r="BI44" s="43">
        <v>0</v>
      </c>
      <c r="BJ44" s="43">
        <v>0</v>
      </c>
      <c r="BK44" s="43">
        <v>0</v>
      </c>
      <c r="BL44" s="39">
        <f t="shared" si="11"/>
        <v>0</v>
      </c>
      <c r="BM44" s="41">
        <v>0</v>
      </c>
      <c r="BN44" s="43">
        <v>0</v>
      </c>
      <c r="BO44" s="43">
        <v>0</v>
      </c>
      <c r="BP44" s="43">
        <v>0</v>
      </c>
      <c r="BQ44" s="39">
        <f>SUM(BM44:BP44)</f>
        <v>0</v>
      </c>
      <c r="BR44" s="41">
        <f t="shared" si="15"/>
        <v>562360</v>
      </c>
      <c r="BS44" s="269">
        <f t="shared" si="15"/>
        <v>22079818</v>
      </c>
      <c r="BT44" s="43">
        <f t="shared" si="15"/>
        <v>4313</v>
      </c>
      <c r="BU44" s="43">
        <f t="shared" si="15"/>
        <v>50162</v>
      </c>
      <c r="BV44" s="41">
        <f t="shared" si="2"/>
        <v>22696653</v>
      </c>
      <c r="BW44" s="9"/>
      <c r="BX44" s="208"/>
      <c r="BZ44" s="43"/>
    </row>
    <row r="45" spans="1:78" x14ac:dyDescent="0.2">
      <c r="A45" s="202">
        <v>39</v>
      </c>
      <c r="B45" s="203" t="s">
        <v>273</v>
      </c>
      <c r="D45" s="204"/>
      <c r="E45" s="268">
        <v>6510457</v>
      </c>
      <c r="F45" s="269">
        <v>3533838</v>
      </c>
      <c r="G45" s="269">
        <v>761272</v>
      </c>
      <c r="H45" s="269">
        <v>7260</v>
      </c>
      <c r="I45" s="39">
        <f t="shared" si="0"/>
        <v>10812827</v>
      </c>
      <c r="J45" s="41">
        <v>295601</v>
      </c>
      <c r="K45" s="43">
        <v>816400</v>
      </c>
      <c r="L45" s="43">
        <v>19695</v>
      </c>
      <c r="M45" s="43">
        <v>0</v>
      </c>
      <c r="N45" s="39">
        <f t="shared" si="14"/>
        <v>1131696</v>
      </c>
      <c r="O45" s="43">
        <v>348996</v>
      </c>
      <c r="P45" s="43">
        <v>216624</v>
      </c>
      <c r="Q45" s="43">
        <v>31997</v>
      </c>
      <c r="R45" s="43">
        <v>0</v>
      </c>
      <c r="S45" s="39">
        <f t="shared" si="17"/>
        <v>597617</v>
      </c>
      <c r="T45" s="41">
        <v>295796</v>
      </c>
      <c r="U45" s="43">
        <v>141884</v>
      </c>
      <c r="V45" s="43">
        <v>38590</v>
      </c>
      <c r="W45" s="43">
        <v>0</v>
      </c>
      <c r="X45" s="39">
        <f t="shared" si="4"/>
        <v>476270</v>
      </c>
      <c r="Y45" s="41">
        <v>410097</v>
      </c>
      <c r="Z45" s="43">
        <v>606567</v>
      </c>
      <c r="AA45" s="43">
        <v>53873</v>
      </c>
      <c r="AB45" s="43">
        <v>0</v>
      </c>
      <c r="AC45" s="39">
        <f t="shared" si="5"/>
        <v>1070537</v>
      </c>
      <c r="AD45" s="41">
        <v>362701</v>
      </c>
      <c r="AE45" s="43">
        <v>220199</v>
      </c>
      <c r="AF45" s="43">
        <v>32348</v>
      </c>
      <c r="AG45" s="43">
        <v>53</v>
      </c>
      <c r="AH45" s="39">
        <f t="shared" si="6"/>
        <v>615301</v>
      </c>
      <c r="AI45" s="41">
        <v>372929</v>
      </c>
      <c r="AJ45" s="43">
        <v>76154</v>
      </c>
      <c r="AK45" s="43">
        <v>43177</v>
      </c>
      <c r="AL45" s="43">
        <v>0</v>
      </c>
      <c r="AM45" s="39">
        <f t="shared" si="7"/>
        <v>492260</v>
      </c>
      <c r="AN45" s="41">
        <v>417005</v>
      </c>
      <c r="AO45" s="43">
        <v>576839</v>
      </c>
      <c r="AP45" s="43">
        <v>51461</v>
      </c>
      <c r="AQ45" s="43">
        <v>-53</v>
      </c>
      <c r="AR45" s="39">
        <f t="shared" si="1"/>
        <v>1045252</v>
      </c>
      <c r="AS45" s="41">
        <v>363675</v>
      </c>
      <c r="AT45" s="43">
        <v>318348</v>
      </c>
      <c r="AU45" s="43">
        <v>53318</v>
      </c>
      <c r="AV45" s="43">
        <v>0</v>
      </c>
      <c r="AW45" s="39">
        <f t="shared" si="8"/>
        <v>735341</v>
      </c>
      <c r="AX45" s="41">
        <v>351868</v>
      </c>
      <c r="AY45" s="43">
        <v>758984</v>
      </c>
      <c r="AZ45" s="43">
        <v>150127</v>
      </c>
      <c r="BA45" s="43">
        <v>0</v>
      </c>
      <c r="BB45" s="39">
        <f t="shared" si="9"/>
        <v>1260979</v>
      </c>
      <c r="BC45" s="41">
        <v>368472</v>
      </c>
      <c r="BD45" s="43">
        <v>536133</v>
      </c>
      <c r="BE45" s="43">
        <v>4007</v>
      </c>
      <c r="BF45" s="43">
        <v>0</v>
      </c>
      <c r="BG45" s="39">
        <f t="shared" si="10"/>
        <v>908612</v>
      </c>
      <c r="BH45" s="41">
        <v>0</v>
      </c>
      <c r="BI45" s="43">
        <v>0</v>
      </c>
      <c r="BJ45" s="43">
        <v>0</v>
      </c>
      <c r="BK45" s="43">
        <v>0</v>
      </c>
      <c r="BL45" s="39">
        <f t="shared" si="11"/>
        <v>0</v>
      </c>
      <c r="BM45" s="41">
        <v>0</v>
      </c>
      <c r="BN45" s="43">
        <v>0</v>
      </c>
      <c r="BO45" s="43">
        <v>0</v>
      </c>
      <c r="BP45" s="43">
        <v>0</v>
      </c>
      <c r="BQ45" s="39">
        <f t="shared" si="12"/>
        <v>0</v>
      </c>
      <c r="BR45" s="41">
        <f t="shared" si="15"/>
        <v>3587140</v>
      </c>
      <c r="BS45" s="269">
        <f t="shared" si="15"/>
        <v>4268132</v>
      </c>
      <c r="BT45" s="43">
        <f t="shared" si="15"/>
        <v>478593</v>
      </c>
      <c r="BU45" s="43">
        <f t="shared" si="15"/>
        <v>0</v>
      </c>
      <c r="BV45" s="41">
        <f t="shared" si="2"/>
        <v>8333865</v>
      </c>
      <c r="BW45" s="9"/>
      <c r="BX45" s="208"/>
      <c r="BZ45" s="43"/>
    </row>
    <row r="46" spans="1:78" x14ac:dyDescent="0.2">
      <c r="A46" s="238">
        <v>40</v>
      </c>
      <c r="B46" s="271" t="s">
        <v>274</v>
      </c>
      <c r="C46" s="271"/>
      <c r="D46" s="220"/>
      <c r="E46" s="268">
        <v>265281</v>
      </c>
      <c r="F46" s="269">
        <v>855647</v>
      </c>
      <c r="G46" s="269">
        <v>2927</v>
      </c>
      <c r="H46" s="269">
        <v>93</v>
      </c>
      <c r="I46" s="39">
        <f t="shared" si="0"/>
        <v>1123948</v>
      </c>
      <c r="J46" s="41">
        <v>16922</v>
      </c>
      <c r="K46" s="43">
        <v>6459</v>
      </c>
      <c r="L46" s="43">
        <v>95</v>
      </c>
      <c r="M46" s="43">
        <v>0</v>
      </c>
      <c r="N46" s="39">
        <f t="shared" si="14"/>
        <v>23476</v>
      </c>
      <c r="O46" s="43">
        <v>19126</v>
      </c>
      <c r="P46" s="43">
        <v>196</v>
      </c>
      <c r="Q46" s="43">
        <v>26</v>
      </c>
      <c r="R46" s="43">
        <v>0</v>
      </c>
      <c r="S46" s="39">
        <f t="shared" si="17"/>
        <v>19348</v>
      </c>
      <c r="T46" s="41">
        <v>18356</v>
      </c>
      <c r="U46" s="43">
        <v>159594</v>
      </c>
      <c r="V46" s="43">
        <v>179</v>
      </c>
      <c r="W46" s="43">
        <v>0</v>
      </c>
      <c r="X46" s="39">
        <f t="shared" si="4"/>
        <v>178129</v>
      </c>
      <c r="Y46" s="41">
        <v>13452</v>
      </c>
      <c r="Z46" s="43">
        <v>208</v>
      </c>
      <c r="AA46" s="43">
        <v>44</v>
      </c>
      <c r="AB46" s="43">
        <v>0</v>
      </c>
      <c r="AC46" s="39">
        <f t="shared" si="5"/>
        <v>13704</v>
      </c>
      <c r="AD46" s="41">
        <v>34106</v>
      </c>
      <c r="AE46" s="43">
        <v>30178</v>
      </c>
      <c r="AF46" s="43">
        <v>3</v>
      </c>
      <c r="AG46" s="43">
        <v>0</v>
      </c>
      <c r="AH46" s="39">
        <f t="shared" si="6"/>
        <v>64287</v>
      </c>
      <c r="AI46" s="41">
        <v>12358</v>
      </c>
      <c r="AJ46" s="43">
        <v>191887</v>
      </c>
      <c r="AK46" s="43">
        <v>27</v>
      </c>
      <c r="AL46" s="43">
        <v>0</v>
      </c>
      <c r="AM46" s="39">
        <f t="shared" si="7"/>
        <v>204272</v>
      </c>
      <c r="AN46" s="41">
        <v>44994</v>
      </c>
      <c r="AO46" s="43">
        <v>69808</v>
      </c>
      <c r="AP46" s="43">
        <v>0</v>
      </c>
      <c r="AQ46" s="43">
        <v>0</v>
      </c>
      <c r="AR46" s="39">
        <f>SUM(AN46:AQ46)</f>
        <v>114802</v>
      </c>
      <c r="AS46" s="41">
        <v>37657</v>
      </c>
      <c r="AT46" s="43">
        <v>249515</v>
      </c>
      <c r="AU46" s="43">
        <v>490</v>
      </c>
      <c r="AV46" s="43">
        <v>0</v>
      </c>
      <c r="AW46" s="39">
        <f t="shared" si="8"/>
        <v>287662</v>
      </c>
      <c r="AX46" s="41">
        <v>24936</v>
      </c>
      <c r="AY46" s="43">
        <v>10398</v>
      </c>
      <c r="AZ46" s="43">
        <v>31</v>
      </c>
      <c r="BA46" s="43">
        <v>0</v>
      </c>
      <c r="BB46" s="39">
        <f t="shared" si="9"/>
        <v>35365</v>
      </c>
      <c r="BC46" s="41">
        <v>13234</v>
      </c>
      <c r="BD46" s="43">
        <v>38565</v>
      </c>
      <c r="BE46" s="43">
        <v>722</v>
      </c>
      <c r="BF46" s="43">
        <v>35</v>
      </c>
      <c r="BG46" s="39">
        <f t="shared" si="10"/>
        <v>52556</v>
      </c>
      <c r="BH46" s="41">
        <v>0</v>
      </c>
      <c r="BI46" s="43">
        <v>0</v>
      </c>
      <c r="BJ46" s="43">
        <v>0</v>
      </c>
      <c r="BK46" s="43">
        <v>0</v>
      </c>
      <c r="BL46" s="39">
        <f t="shared" si="11"/>
        <v>0</v>
      </c>
      <c r="BM46" s="41">
        <v>0</v>
      </c>
      <c r="BN46" s="43">
        <v>0</v>
      </c>
      <c r="BO46" s="272">
        <v>0</v>
      </c>
      <c r="BP46" s="43">
        <v>0</v>
      </c>
      <c r="BQ46" s="39">
        <f t="shared" si="12"/>
        <v>0</v>
      </c>
      <c r="BR46" s="41">
        <f t="shared" si="15"/>
        <v>235141</v>
      </c>
      <c r="BS46" s="269">
        <f t="shared" si="15"/>
        <v>756808</v>
      </c>
      <c r="BT46" s="43">
        <f t="shared" si="15"/>
        <v>1617</v>
      </c>
      <c r="BU46" s="43">
        <f t="shared" si="15"/>
        <v>35</v>
      </c>
      <c r="BV46" s="41">
        <f t="shared" si="2"/>
        <v>993601</v>
      </c>
      <c r="BW46" s="9"/>
      <c r="BX46" s="208"/>
      <c r="BZ46" s="43"/>
    </row>
    <row r="47" spans="1:78" x14ac:dyDescent="0.2">
      <c r="A47" s="273" t="s">
        <v>226</v>
      </c>
      <c r="B47" s="203"/>
      <c r="D47" s="221"/>
      <c r="E47" s="36">
        <f t="shared" ref="E47:J47" si="18">SUM(E7:E46)</f>
        <v>243798853</v>
      </c>
      <c r="F47" s="35">
        <f t="shared" si="18"/>
        <v>624608366</v>
      </c>
      <c r="G47" s="35">
        <f t="shared" si="18"/>
        <v>12204523</v>
      </c>
      <c r="H47" s="35">
        <f t="shared" si="18"/>
        <v>64518506</v>
      </c>
      <c r="I47" s="17">
        <f t="shared" si="18"/>
        <v>945130248</v>
      </c>
      <c r="J47" s="36">
        <f t="shared" si="18"/>
        <v>17419897</v>
      </c>
      <c r="K47" s="35">
        <f>SUM(K7:K46)</f>
        <v>58376647</v>
      </c>
      <c r="L47" s="35">
        <f t="shared" ref="L47:AB47" si="19">SUM(L7:L46)</f>
        <v>362073</v>
      </c>
      <c r="M47" s="35">
        <f t="shared" si="19"/>
        <v>2125</v>
      </c>
      <c r="N47" s="17">
        <f>SUM(N7:N46)</f>
        <v>76160742</v>
      </c>
      <c r="O47" s="35">
        <f>SUM(O7:O46)</f>
        <v>18816680</v>
      </c>
      <c r="P47" s="35">
        <f t="shared" si="19"/>
        <v>46735572</v>
      </c>
      <c r="Q47" s="35">
        <f t="shared" si="19"/>
        <v>582691</v>
      </c>
      <c r="R47" s="35">
        <f t="shared" si="19"/>
        <v>51556</v>
      </c>
      <c r="S47" s="17">
        <f>SUM(S7:S46)</f>
        <v>66186499</v>
      </c>
      <c r="T47" s="36">
        <f t="shared" si="19"/>
        <v>18927123</v>
      </c>
      <c r="U47" s="35">
        <f t="shared" si="19"/>
        <v>40054108</v>
      </c>
      <c r="V47" s="35">
        <f t="shared" si="19"/>
        <v>553754</v>
      </c>
      <c r="W47" s="35">
        <f t="shared" si="19"/>
        <v>-30</v>
      </c>
      <c r="X47" s="17">
        <f>SUM(X7:X46)</f>
        <v>59534955</v>
      </c>
      <c r="Y47" s="36">
        <f t="shared" si="19"/>
        <v>20136950</v>
      </c>
      <c r="Z47" s="35">
        <f t="shared" si="19"/>
        <v>80697705</v>
      </c>
      <c r="AA47" s="35">
        <f t="shared" si="19"/>
        <v>714762</v>
      </c>
      <c r="AB47" s="35">
        <f t="shared" si="19"/>
        <v>2447</v>
      </c>
      <c r="AC47" s="17">
        <f>SUM(AC7:AC46)</f>
        <v>101551864</v>
      </c>
      <c r="AD47" s="36">
        <f t="shared" ref="AD47:AL47" si="20">SUM(AD7:AD46)</f>
        <v>19206769</v>
      </c>
      <c r="AE47" s="35">
        <f t="shared" si="20"/>
        <v>50967096</v>
      </c>
      <c r="AF47" s="35">
        <f t="shared" si="20"/>
        <v>844913</v>
      </c>
      <c r="AG47" s="35">
        <f t="shared" si="20"/>
        <v>2116</v>
      </c>
      <c r="AH47" s="17">
        <f>SUM(AH7:AH46)</f>
        <v>71020894</v>
      </c>
      <c r="AI47" s="36">
        <f t="shared" si="20"/>
        <v>19341077</v>
      </c>
      <c r="AJ47" s="35">
        <f t="shared" si="20"/>
        <v>33901185</v>
      </c>
      <c r="AK47" s="35">
        <f t="shared" si="20"/>
        <v>853464</v>
      </c>
      <c r="AL47" s="35">
        <f t="shared" si="20"/>
        <v>13502173</v>
      </c>
      <c r="AM47" s="17">
        <f t="shared" ref="AM47:AV47" si="21">SUM(AM7:AM46)</f>
        <v>67597899</v>
      </c>
      <c r="AN47" s="36">
        <f>SUM(AN7:AN46)</f>
        <v>20488885</v>
      </c>
      <c r="AO47" s="35">
        <f>SUM(AO7:AO46)</f>
        <v>54427618</v>
      </c>
      <c r="AP47" s="35">
        <f>SUM(AP7:AP46)</f>
        <v>670997</v>
      </c>
      <c r="AQ47" s="35">
        <f>SUM(AQ7:AQ46)</f>
        <v>1514</v>
      </c>
      <c r="AR47" s="17">
        <f>SUM(AR7:AR46)</f>
        <v>75589014</v>
      </c>
      <c r="AS47" s="36">
        <f t="shared" si="21"/>
        <v>19784022</v>
      </c>
      <c r="AT47" s="35">
        <f t="shared" si="21"/>
        <v>43850096</v>
      </c>
      <c r="AU47" s="35">
        <f t="shared" si="21"/>
        <v>737799</v>
      </c>
      <c r="AV47" s="35">
        <f t="shared" si="21"/>
        <v>10145</v>
      </c>
      <c r="AW47" s="17">
        <f t="shared" ref="AW47:BU47" si="22">SUM(AW7:AW46)</f>
        <v>64382062</v>
      </c>
      <c r="AX47" s="36">
        <f>SUM(AX7:AX46)</f>
        <v>19695531</v>
      </c>
      <c r="AY47" s="35">
        <f t="shared" si="22"/>
        <v>54421109</v>
      </c>
      <c r="AZ47" s="35">
        <f t="shared" si="22"/>
        <v>1572655</v>
      </c>
      <c r="BA47" s="35">
        <f t="shared" si="22"/>
        <v>17274933</v>
      </c>
      <c r="BB47" s="17">
        <f>SUM(BB7:BB46)</f>
        <v>92964228</v>
      </c>
      <c r="BC47" s="36">
        <f t="shared" si="22"/>
        <v>19481922</v>
      </c>
      <c r="BD47" s="35">
        <f t="shared" si="22"/>
        <v>45649125</v>
      </c>
      <c r="BE47" s="35">
        <f t="shared" si="22"/>
        <v>896488</v>
      </c>
      <c r="BF47" s="35">
        <f>SUM(BF7:BF46)</f>
        <v>9707626</v>
      </c>
      <c r="BG47" s="17">
        <f>SUM(BG7:BG46)</f>
        <v>75735161</v>
      </c>
      <c r="BH47" s="36">
        <f t="shared" si="22"/>
        <v>0</v>
      </c>
      <c r="BI47" s="35">
        <f t="shared" si="22"/>
        <v>0</v>
      </c>
      <c r="BJ47" s="35">
        <f t="shared" si="22"/>
        <v>0</v>
      </c>
      <c r="BK47" s="35">
        <f t="shared" si="22"/>
        <v>0</v>
      </c>
      <c r="BL47" s="17">
        <f t="shared" si="22"/>
        <v>0</v>
      </c>
      <c r="BM47" s="36">
        <f t="shared" si="22"/>
        <v>0</v>
      </c>
      <c r="BN47" s="35">
        <f t="shared" si="22"/>
        <v>0</v>
      </c>
      <c r="BO47" s="35">
        <f t="shared" si="22"/>
        <v>0</v>
      </c>
      <c r="BP47" s="35">
        <f t="shared" si="22"/>
        <v>0</v>
      </c>
      <c r="BQ47" s="17">
        <f t="shared" si="22"/>
        <v>0</v>
      </c>
      <c r="BR47" s="36">
        <f t="shared" si="22"/>
        <v>193298856</v>
      </c>
      <c r="BS47" s="35">
        <f t="shared" si="22"/>
        <v>509080261</v>
      </c>
      <c r="BT47" s="35">
        <f t="shared" si="22"/>
        <v>7789596</v>
      </c>
      <c r="BU47" s="35">
        <f t="shared" si="22"/>
        <v>40554605</v>
      </c>
      <c r="BV47" s="17">
        <f>SUM(BV7:BV46)</f>
        <v>750723318</v>
      </c>
      <c r="BW47" s="9"/>
      <c r="BX47" s="208"/>
      <c r="BZ47" s="43"/>
    </row>
    <row r="48" spans="1:78" x14ac:dyDescent="0.2">
      <c r="A48" s="223" t="s">
        <v>227</v>
      </c>
      <c r="B48" s="203"/>
      <c r="D48" s="221"/>
      <c r="E48" s="52"/>
      <c r="F48" s="19"/>
      <c r="G48" s="19"/>
      <c r="H48" s="19"/>
      <c r="I48" s="53"/>
      <c r="J48" s="52"/>
      <c r="K48" s="19"/>
      <c r="L48" s="19"/>
      <c r="M48" s="19"/>
      <c r="N48" s="53"/>
      <c r="O48" s="19"/>
      <c r="P48" s="19"/>
      <c r="Q48" s="19"/>
      <c r="R48" s="19"/>
      <c r="S48" s="53"/>
      <c r="T48" s="52"/>
      <c r="U48" s="19"/>
      <c r="V48" s="19"/>
      <c r="W48" s="19"/>
      <c r="X48" s="53"/>
      <c r="Y48" s="52"/>
      <c r="Z48" s="19"/>
      <c r="AA48" s="19"/>
      <c r="AB48" s="19"/>
      <c r="AC48" s="53"/>
      <c r="AD48" s="52"/>
      <c r="AE48" s="19"/>
      <c r="AF48" s="19"/>
      <c r="AG48" s="19"/>
      <c r="AH48" s="53"/>
      <c r="AI48" s="52"/>
      <c r="AJ48" s="19"/>
      <c r="AK48" s="19"/>
      <c r="AL48" s="19"/>
      <c r="AM48" s="53"/>
      <c r="AN48" s="52"/>
      <c r="AO48" s="19"/>
      <c r="AP48" s="19"/>
      <c r="AQ48" s="19"/>
      <c r="AR48" s="53"/>
      <c r="AS48" s="52"/>
      <c r="AT48" s="19"/>
      <c r="AU48" s="19"/>
      <c r="AV48" s="19"/>
      <c r="AW48" s="53"/>
      <c r="AX48" s="52"/>
      <c r="AY48" s="19"/>
      <c r="AZ48" s="19"/>
      <c r="BA48" s="19"/>
      <c r="BB48" s="53"/>
      <c r="BC48" s="52"/>
      <c r="BD48" s="19"/>
      <c r="BE48" s="19"/>
      <c r="BF48" s="19"/>
      <c r="BG48" s="53"/>
      <c r="BH48" s="52"/>
      <c r="BI48" s="19"/>
      <c r="BJ48" s="19"/>
      <c r="BK48" s="19"/>
      <c r="BL48" s="53"/>
      <c r="BM48" s="52"/>
      <c r="BN48" s="19"/>
      <c r="BO48" s="19"/>
      <c r="BP48" s="19"/>
      <c r="BQ48" s="53"/>
      <c r="BR48" s="52"/>
      <c r="BS48" s="19"/>
      <c r="BT48" s="19"/>
      <c r="BU48" s="19"/>
      <c r="BV48" s="53"/>
      <c r="BW48" s="9"/>
      <c r="BX48" s="208"/>
      <c r="BZ48" s="43"/>
    </row>
    <row r="49" spans="1:78" x14ac:dyDescent="0.2">
      <c r="A49" s="199" t="s">
        <v>228</v>
      </c>
      <c r="D49" s="225"/>
      <c r="E49" s="274"/>
      <c r="F49" s="275"/>
      <c r="G49" s="275"/>
      <c r="H49" s="275"/>
      <c r="I49" s="52"/>
      <c r="J49" s="274"/>
      <c r="K49" s="275"/>
      <c r="L49" s="275"/>
      <c r="M49" s="275"/>
      <c r="N49" s="53"/>
      <c r="O49" s="275"/>
      <c r="P49" s="275"/>
      <c r="Q49" s="275"/>
      <c r="R49" s="275"/>
      <c r="S49" s="52"/>
      <c r="T49" s="274"/>
      <c r="U49" s="275"/>
      <c r="V49" s="275"/>
      <c r="W49" s="275"/>
      <c r="X49" s="52"/>
      <c r="Y49" s="274"/>
      <c r="Z49" s="275"/>
      <c r="AA49" s="275"/>
      <c r="AB49" s="275"/>
      <c r="AC49" s="52"/>
      <c r="AD49" s="274"/>
      <c r="AE49" s="275"/>
      <c r="AF49" s="275"/>
      <c r="AG49" s="275"/>
      <c r="AH49" s="52"/>
      <c r="AI49" s="274"/>
      <c r="AJ49" s="275"/>
      <c r="AK49" s="275"/>
      <c r="AL49" s="275"/>
      <c r="AM49" s="52"/>
      <c r="AN49" s="274"/>
      <c r="AO49" s="275"/>
      <c r="AP49" s="275"/>
      <c r="AQ49" s="275"/>
      <c r="AR49" s="52"/>
      <c r="AS49" s="274"/>
      <c r="AT49" s="275"/>
      <c r="AU49" s="275"/>
      <c r="AV49" s="275"/>
      <c r="AW49" s="52"/>
      <c r="AX49" s="274"/>
      <c r="AY49" s="275"/>
      <c r="AZ49" s="275"/>
      <c r="BA49" s="275"/>
      <c r="BB49" s="52"/>
      <c r="BC49" s="274"/>
      <c r="BD49" s="275"/>
      <c r="BE49" s="275"/>
      <c r="BF49" s="275"/>
      <c r="BG49" s="52"/>
      <c r="BH49" s="274"/>
      <c r="BI49" s="275"/>
      <c r="BJ49" s="275"/>
      <c r="BK49" s="275"/>
      <c r="BL49" s="52"/>
      <c r="BM49" s="274"/>
      <c r="BN49" s="275"/>
      <c r="BO49" s="275"/>
      <c r="BP49" s="275"/>
      <c r="BQ49" s="52"/>
      <c r="BR49" s="274"/>
      <c r="BS49" s="275"/>
      <c r="BT49" s="275"/>
      <c r="BU49" s="275"/>
      <c r="BV49" s="52"/>
      <c r="BW49" s="276"/>
      <c r="BX49" s="208"/>
      <c r="BZ49" s="43"/>
    </row>
    <row r="50" spans="1:78" x14ac:dyDescent="0.2">
      <c r="A50" s="202" t="s">
        <v>229</v>
      </c>
      <c r="B50" s="227"/>
      <c r="C50" s="227"/>
      <c r="D50" s="225"/>
      <c r="E50" s="269">
        <v>5708</v>
      </c>
      <c r="F50" s="269">
        <v>0</v>
      </c>
      <c r="G50" s="269">
        <v>0</v>
      </c>
      <c r="H50" s="269">
        <v>0</v>
      </c>
      <c r="I50" s="39">
        <f t="shared" ref="I50:I56" si="23">SUM(E50:H50)</f>
        <v>5708</v>
      </c>
      <c r="J50" s="268">
        <v>475</v>
      </c>
      <c r="K50" s="269">
        <v>0</v>
      </c>
      <c r="L50" s="269">
        <v>0</v>
      </c>
      <c r="M50" s="269">
        <v>0</v>
      </c>
      <c r="N50" s="39">
        <f>SUM(J50:M50)</f>
        <v>475</v>
      </c>
      <c r="O50" s="269">
        <v>475</v>
      </c>
      <c r="P50" s="269">
        <v>0</v>
      </c>
      <c r="Q50" s="269">
        <v>0</v>
      </c>
      <c r="R50" s="269">
        <v>0</v>
      </c>
      <c r="S50" s="39">
        <f>SUM(O50:R50)</f>
        <v>475</v>
      </c>
      <c r="T50" s="269">
        <v>475</v>
      </c>
      <c r="U50" s="269">
        <v>0</v>
      </c>
      <c r="V50" s="269">
        <v>0</v>
      </c>
      <c r="W50" s="269">
        <v>0</v>
      </c>
      <c r="X50" s="39">
        <f>SUM(T50:W50)</f>
        <v>475</v>
      </c>
      <c r="Y50" s="269">
        <v>483</v>
      </c>
      <c r="Z50" s="269">
        <v>0</v>
      </c>
      <c r="AA50" s="269">
        <v>0</v>
      </c>
      <c r="AB50" s="269">
        <v>0</v>
      </c>
      <c r="AC50" s="39">
        <f>SUM(Y50:AB50)</f>
        <v>483</v>
      </c>
      <c r="AD50" s="269">
        <v>475</v>
      </c>
      <c r="AE50" s="269">
        <v>0</v>
      </c>
      <c r="AF50" s="269">
        <v>0</v>
      </c>
      <c r="AG50" s="269">
        <v>0</v>
      </c>
      <c r="AH50" s="39">
        <f>SUM(AD50:AG50)</f>
        <v>475</v>
      </c>
      <c r="AI50" s="269">
        <v>475</v>
      </c>
      <c r="AJ50" s="269">
        <v>0</v>
      </c>
      <c r="AK50" s="269">
        <v>0</v>
      </c>
      <c r="AL50" s="269">
        <v>0</v>
      </c>
      <c r="AM50" s="39">
        <f>SUM(AI50:AL50)</f>
        <v>475</v>
      </c>
      <c r="AN50" s="269">
        <v>499</v>
      </c>
      <c r="AO50" s="269">
        <v>0</v>
      </c>
      <c r="AP50" s="269">
        <v>0</v>
      </c>
      <c r="AQ50" s="269">
        <v>0</v>
      </c>
      <c r="AR50" s="39">
        <f>SUM(AN50:AQ50)</f>
        <v>499</v>
      </c>
      <c r="AS50" s="269">
        <v>475</v>
      </c>
      <c r="AT50" s="269">
        <v>0</v>
      </c>
      <c r="AU50" s="269">
        <v>0</v>
      </c>
      <c r="AV50" s="269">
        <v>0</v>
      </c>
      <c r="AW50" s="39">
        <f>SUM(AS50:AV50)</f>
        <v>475</v>
      </c>
      <c r="AX50" s="269">
        <v>475</v>
      </c>
      <c r="AY50" s="269">
        <v>0</v>
      </c>
      <c r="AZ50" s="269">
        <v>0</v>
      </c>
      <c r="BA50" s="269">
        <v>0</v>
      </c>
      <c r="BB50" s="39">
        <f>SUM(AX50:BA50)</f>
        <v>475</v>
      </c>
      <c r="BC50" s="269">
        <f>475-24</f>
        <v>451</v>
      </c>
      <c r="BD50" s="269">
        <v>0</v>
      </c>
      <c r="BE50" s="269">
        <v>0</v>
      </c>
      <c r="BF50" s="269">
        <v>0</v>
      </c>
      <c r="BG50" s="39">
        <f>SUM(BC50:BF50)</f>
        <v>451</v>
      </c>
      <c r="BH50" s="269">
        <v>0</v>
      </c>
      <c r="BI50" s="269">
        <v>0</v>
      </c>
      <c r="BJ50" s="269">
        <v>0</v>
      </c>
      <c r="BK50" s="269">
        <v>0</v>
      </c>
      <c r="BL50" s="39">
        <f>SUM(BH50:BK50)</f>
        <v>0</v>
      </c>
      <c r="BM50" s="269">
        <v>0</v>
      </c>
      <c r="BN50" s="269">
        <v>0</v>
      </c>
      <c r="BO50" s="269">
        <v>0</v>
      </c>
      <c r="BP50" s="269">
        <v>0</v>
      </c>
      <c r="BQ50" s="39">
        <f>SUM(BM50:BP50)</f>
        <v>0</v>
      </c>
      <c r="BR50" s="269">
        <f t="shared" ref="BR50:BT51" si="24">+J50+O50+T50+Y50+AD50+AI50+AN50+AS50+AX50+BC50+BH50+BM50</f>
        <v>4758</v>
      </c>
      <c r="BS50" s="269">
        <f t="shared" si="24"/>
        <v>0</v>
      </c>
      <c r="BT50" s="269">
        <f t="shared" si="24"/>
        <v>0</v>
      </c>
      <c r="BU50" s="269">
        <f>+M50+R50+W50+AB50+AG50+AL50+AQ50+AV50+BA50+BF50+BK50+BP50</f>
        <v>0</v>
      </c>
      <c r="BV50" s="39">
        <f>SUM(BR50:BU50)</f>
        <v>4758</v>
      </c>
      <c r="BW50" s="9"/>
      <c r="BX50" s="208"/>
      <c r="BZ50" s="43"/>
    </row>
    <row r="51" spans="1:78" x14ac:dyDescent="0.2">
      <c r="A51" s="202" t="s">
        <v>230</v>
      </c>
      <c r="B51" s="227"/>
      <c r="D51" s="221" t="s">
        <v>57</v>
      </c>
      <c r="E51" s="269">
        <v>600518</v>
      </c>
      <c r="F51" s="269">
        <v>0</v>
      </c>
      <c r="G51" s="269">
        <v>0</v>
      </c>
      <c r="H51" s="269">
        <v>0</v>
      </c>
      <c r="I51" s="39">
        <f t="shared" si="23"/>
        <v>600518</v>
      </c>
      <c r="J51" s="268">
        <v>43960</v>
      </c>
      <c r="K51" s="269">
        <v>0</v>
      </c>
      <c r="L51" s="269">
        <v>0</v>
      </c>
      <c r="M51" s="269">
        <v>0</v>
      </c>
      <c r="N51" s="39">
        <f>SUM(J51:M51)</f>
        <v>43960</v>
      </c>
      <c r="O51" s="269">
        <v>43960</v>
      </c>
      <c r="P51" s="269">
        <v>0</v>
      </c>
      <c r="Q51" s="269">
        <v>0</v>
      </c>
      <c r="R51" s="269">
        <v>0</v>
      </c>
      <c r="S51" s="39">
        <f>SUM(O51:R51)</f>
        <v>43960</v>
      </c>
      <c r="T51" s="269">
        <v>43960</v>
      </c>
      <c r="U51" s="269">
        <v>0</v>
      </c>
      <c r="V51" s="269">
        <v>0</v>
      </c>
      <c r="W51" s="269">
        <v>0</v>
      </c>
      <c r="X51" s="39">
        <f>SUM(T51:W51)</f>
        <v>43960</v>
      </c>
      <c r="Y51" s="269">
        <v>103960</v>
      </c>
      <c r="Z51" s="269">
        <v>0</v>
      </c>
      <c r="AA51" s="269">
        <v>0</v>
      </c>
      <c r="AB51" s="269">
        <v>0</v>
      </c>
      <c r="AC51" s="39">
        <f>SUM(Y51:AB51)</f>
        <v>103960</v>
      </c>
      <c r="AD51" s="269">
        <v>103960</v>
      </c>
      <c r="AE51" s="269">
        <v>0</v>
      </c>
      <c r="AF51" s="269">
        <v>0</v>
      </c>
      <c r="AG51" s="269">
        <v>0</v>
      </c>
      <c r="AH51" s="39">
        <f>SUM(AD51:AG51)</f>
        <v>103960</v>
      </c>
      <c r="AI51" s="269">
        <v>43960</v>
      </c>
      <c r="AJ51" s="269">
        <v>0</v>
      </c>
      <c r="AK51" s="269">
        <v>0</v>
      </c>
      <c r="AL51" s="269">
        <v>0</v>
      </c>
      <c r="AM51" s="39">
        <f>SUM(AI51:AL51)</f>
        <v>43960</v>
      </c>
      <c r="AN51" s="269">
        <v>43960</v>
      </c>
      <c r="AO51" s="269">
        <v>0</v>
      </c>
      <c r="AP51" s="269">
        <v>0</v>
      </c>
      <c r="AQ51" s="269">
        <v>0</v>
      </c>
      <c r="AR51" s="39">
        <f>SUM(AN51:AQ51)</f>
        <v>43960</v>
      </c>
      <c r="AS51" s="269">
        <v>43960</v>
      </c>
      <c r="AT51" s="269">
        <v>0</v>
      </c>
      <c r="AU51" s="269">
        <v>0</v>
      </c>
      <c r="AV51" s="269">
        <v>0</v>
      </c>
      <c r="AW51" s="39">
        <f>SUM(AS51:AV51)</f>
        <v>43960</v>
      </c>
      <c r="AX51" s="269">
        <v>43960</v>
      </c>
      <c r="AY51" s="269">
        <v>0</v>
      </c>
      <c r="AZ51" s="269">
        <v>0</v>
      </c>
      <c r="BA51" s="269">
        <v>0</v>
      </c>
      <c r="BB51" s="39">
        <f>SUM(AX51:BA51)</f>
        <v>43960</v>
      </c>
      <c r="BC51" s="269">
        <v>3960</v>
      </c>
      <c r="BD51" s="269">
        <v>0</v>
      </c>
      <c r="BE51" s="269">
        <v>0</v>
      </c>
      <c r="BF51" s="269">
        <v>0</v>
      </c>
      <c r="BG51" s="39">
        <f>SUM(BC51:BF51)</f>
        <v>3960</v>
      </c>
      <c r="BH51" s="269">
        <v>0</v>
      </c>
      <c r="BI51" s="269">
        <v>0</v>
      </c>
      <c r="BJ51" s="269">
        <v>0</v>
      </c>
      <c r="BK51" s="269">
        <v>0</v>
      </c>
      <c r="BL51" s="39">
        <f>SUM(BH51:BK51)</f>
        <v>0</v>
      </c>
      <c r="BM51" s="269">
        <v>0</v>
      </c>
      <c r="BN51" s="269">
        <v>0</v>
      </c>
      <c r="BO51" s="269">
        <v>0</v>
      </c>
      <c r="BP51" s="269">
        <v>0</v>
      </c>
      <c r="BQ51" s="39">
        <f>SUM(BM51:BP51)</f>
        <v>0</v>
      </c>
      <c r="BR51" s="269">
        <f t="shared" si="24"/>
        <v>519600</v>
      </c>
      <c r="BS51" s="269">
        <f t="shared" si="24"/>
        <v>0</v>
      </c>
      <c r="BT51" s="269">
        <f t="shared" si="24"/>
        <v>0</v>
      </c>
      <c r="BU51" s="269">
        <f>+M51+R51+W51+AB51+AG51+AL51+AQ51+AV51+BA51+BF51+BK51+BP51</f>
        <v>0</v>
      </c>
      <c r="BV51" s="39">
        <f>SUM(BR51:BU51)</f>
        <v>519600</v>
      </c>
      <c r="BW51" s="9"/>
      <c r="BX51" s="208"/>
      <c r="BZ51" s="43"/>
    </row>
    <row r="52" spans="1:78" x14ac:dyDescent="0.2">
      <c r="A52" s="202" t="s">
        <v>231</v>
      </c>
      <c r="B52" s="227"/>
      <c r="D52" s="231"/>
      <c r="E52" s="269">
        <f>SUM(E53:E54)</f>
        <v>204769349.69999999</v>
      </c>
      <c r="F52" s="269">
        <v>0</v>
      </c>
      <c r="G52" s="269">
        <v>0</v>
      </c>
      <c r="H52" s="269">
        <v>0</v>
      </c>
      <c r="I52" s="39">
        <f t="shared" ref="I52:X52" si="25">SUM(I53:I54)</f>
        <v>204769349.69999999</v>
      </c>
      <c r="J52" s="268">
        <f t="shared" si="25"/>
        <v>3587887</v>
      </c>
      <c r="K52" s="269">
        <f t="shared" si="25"/>
        <v>0</v>
      </c>
      <c r="L52" s="269">
        <f t="shared" si="25"/>
        <v>0</v>
      </c>
      <c r="M52" s="269">
        <f t="shared" si="25"/>
        <v>0</v>
      </c>
      <c r="N52" s="39">
        <f t="shared" si="25"/>
        <v>3587887</v>
      </c>
      <c r="O52" s="269">
        <f t="shared" si="25"/>
        <v>4274259</v>
      </c>
      <c r="P52" s="269">
        <f t="shared" si="25"/>
        <v>0</v>
      </c>
      <c r="Q52" s="269">
        <f t="shared" si="25"/>
        <v>0</v>
      </c>
      <c r="R52" s="269">
        <f t="shared" si="25"/>
        <v>0</v>
      </c>
      <c r="S52" s="39">
        <f t="shared" si="25"/>
        <v>4274259</v>
      </c>
      <c r="T52" s="269">
        <f t="shared" si="25"/>
        <v>20232557</v>
      </c>
      <c r="U52" s="269">
        <f t="shared" si="25"/>
        <v>0</v>
      </c>
      <c r="V52" s="269">
        <f t="shared" si="25"/>
        <v>0</v>
      </c>
      <c r="W52" s="269">
        <f t="shared" si="25"/>
        <v>0</v>
      </c>
      <c r="X52" s="39">
        <f t="shared" si="25"/>
        <v>20232557</v>
      </c>
      <c r="Y52" s="269">
        <v>27300430</v>
      </c>
      <c r="Z52" s="269">
        <f t="shared" ref="Z52:AH52" si="26">SUM(Z53:Z54)</f>
        <v>0</v>
      </c>
      <c r="AA52" s="269">
        <f t="shared" si="26"/>
        <v>0</v>
      </c>
      <c r="AB52" s="269">
        <f t="shared" si="26"/>
        <v>0</v>
      </c>
      <c r="AC52" s="39">
        <f t="shared" si="26"/>
        <v>27300430</v>
      </c>
      <c r="AD52" s="269">
        <f t="shared" si="26"/>
        <v>27624060</v>
      </c>
      <c r="AE52" s="269">
        <f t="shared" si="26"/>
        <v>0</v>
      </c>
      <c r="AF52" s="269">
        <f t="shared" si="26"/>
        <v>0</v>
      </c>
      <c r="AG52" s="269">
        <f t="shared" si="26"/>
        <v>0</v>
      </c>
      <c r="AH52" s="39">
        <f t="shared" si="26"/>
        <v>27624060</v>
      </c>
      <c r="AI52" s="269">
        <v>16497519</v>
      </c>
      <c r="AJ52" s="269">
        <v>0</v>
      </c>
      <c r="AK52" s="269">
        <v>0</v>
      </c>
      <c r="AL52" s="269">
        <v>0</v>
      </c>
      <c r="AM52" s="39">
        <f>SUM(AM53:AM54)</f>
        <v>16497519</v>
      </c>
      <c r="AN52" s="269">
        <v>4518363</v>
      </c>
      <c r="AO52" s="269">
        <v>0</v>
      </c>
      <c r="AP52" s="269">
        <v>0</v>
      </c>
      <c r="AQ52" s="269">
        <v>0</v>
      </c>
      <c r="AR52" s="39">
        <f t="shared" ref="AR52:BL52" si="27">SUM(AR53:AR54)</f>
        <v>4518363</v>
      </c>
      <c r="AS52" s="269">
        <f t="shared" si="27"/>
        <v>2314875</v>
      </c>
      <c r="AT52" s="269">
        <f t="shared" si="27"/>
        <v>0</v>
      </c>
      <c r="AU52" s="269">
        <f t="shared" si="27"/>
        <v>0</v>
      </c>
      <c r="AV52" s="269">
        <f t="shared" si="27"/>
        <v>0</v>
      </c>
      <c r="AW52" s="39">
        <f t="shared" si="27"/>
        <v>2314875</v>
      </c>
      <c r="AX52" s="269">
        <f t="shared" si="27"/>
        <v>21145008</v>
      </c>
      <c r="AY52" s="269">
        <f t="shared" si="27"/>
        <v>0</v>
      </c>
      <c r="AZ52" s="269">
        <f t="shared" si="27"/>
        <v>0</v>
      </c>
      <c r="BA52" s="269">
        <f t="shared" si="27"/>
        <v>0</v>
      </c>
      <c r="BB52" s="39">
        <f t="shared" si="27"/>
        <v>21145008</v>
      </c>
      <c r="BC52" s="269">
        <f t="shared" si="27"/>
        <v>28808483</v>
      </c>
      <c r="BD52" s="269">
        <f t="shared" si="27"/>
        <v>0</v>
      </c>
      <c r="BE52" s="269">
        <f t="shared" si="27"/>
        <v>0</v>
      </c>
      <c r="BF52" s="269">
        <f t="shared" si="27"/>
        <v>0</v>
      </c>
      <c r="BG52" s="39">
        <f t="shared" si="27"/>
        <v>28808483</v>
      </c>
      <c r="BH52" s="269">
        <f t="shared" si="27"/>
        <v>0</v>
      </c>
      <c r="BI52" s="269">
        <f t="shared" si="27"/>
        <v>0</v>
      </c>
      <c r="BJ52" s="269">
        <f t="shared" si="27"/>
        <v>0</v>
      </c>
      <c r="BK52" s="269">
        <f t="shared" si="27"/>
        <v>0</v>
      </c>
      <c r="BL52" s="39">
        <f t="shared" si="27"/>
        <v>0</v>
      </c>
      <c r="BM52" s="269">
        <v>0</v>
      </c>
      <c r="BN52" s="269">
        <v>0</v>
      </c>
      <c r="BO52" s="269">
        <v>0</v>
      </c>
      <c r="BP52" s="269">
        <v>0</v>
      </c>
      <c r="BQ52" s="39">
        <f t="shared" ref="BQ52:BV52" si="28">SUM(BQ53:BQ54)</f>
        <v>0</v>
      </c>
      <c r="BR52" s="269">
        <f t="shared" si="28"/>
        <v>156303441</v>
      </c>
      <c r="BS52" s="269">
        <f t="shared" si="28"/>
        <v>0</v>
      </c>
      <c r="BT52" s="269">
        <f t="shared" si="28"/>
        <v>0</v>
      </c>
      <c r="BU52" s="269">
        <f t="shared" si="28"/>
        <v>0</v>
      </c>
      <c r="BV52" s="39">
        <f t="shared" si="28"/>
        <v>156303441</v>
      </c>
      <c r="BW52" s="9"/>
      <c r="BX52" s="208"/>
    </row>
    <row r="53" spans="1:78" s="233" customFormat="1" x14ac:dyDescent="0.2">
      <c r="A53" s="232" t="s">
        <v>102</v>
      </c>
      <c r="D53" s="231"/>
      <c r="E53" s="277">
        <v>204620552.25</v>
      </c>
      <c r="F53" s="277">
        <v>0</v>
      </c>
      <c r="G53" s="277">
        <v>0</v>
      </c>
      <c r="H53" s="277">
        <v>0</v>
      </c>
      <c r="I53" s="69">
        <f>SUM(E53:H53)</f>
        <v>204620552.25</v>
      </c>
      <c r="J53" s="278">
        <v>3587571</v>
      </c>
      <c r="K53" s="277">
        <v>0</v>
      </c>
      <c r="L53" s="277">
        <v>0</v>
      </c>
      <c r="M53" s="277">
        <v>0</v>
      </c>
      <c r="N53" s="69">
        <f t="shared" ref="N53:N67" si="29">SUM(J53:M53)</f>
        <v>3587571</v>
      </c>
      <c r="O53" s="277">
        <v>4257039</v>
      </c>
      <c r="P53" s="277">
        <v>0</v>
      </c>
      <c r="Q53" s="277">
        <v>0</v>
      </c>
      <c r="R53" s="277">
        <v>0</v>
      </c>
      <c r="S53" s="69">
        <f t="shared" ref="S53:S67" si="30">SUM(O53:R53)</f>
        <v>4257039</v>
      </c>
      <c r="T53" s="277">
        <v>20232306</v>
      </c>
      <c r="U53" s="277">
        <v>0</v>
      </c>
      <c r="V53" s="277">
        <v>0</v>
      </c>
      <c r="W53" s="277">
        <v>0</v>
      </c>
      <c r="X53" s="69">
        <f t="shared" ref="X53:X67" si="31">SUM(T53:W53)</f>
        <v>20232306</v>
      </c>
      <c r="Y53" s="186">
        <v>27299692.5</v>
      </c>
      <c r="Z53" s="277">
        <v>0</v>
      </c>
      <c r="AA53" s="277">
        <v>0</v>
      </c>
      <c r="AB53" s="277">
        <v>0</v>
      </c>
      <c r="AC53" s="69">
        <f t="shared" ref="AC53:AC67" si="32">SUM(Y53:AB53)</f>
        <v>27299692.5</v>
      </c>
      <c r="AD53" s="277">
        <v>27623391</v>
      </c>
      <c r="AE53" s="277">
        <v>0</v>
      </c>
      <c r="AF53" s="277">
        <v>0</v>
      </c>
      <c r="AG53" s="277">
        <v>0</v>
      </c>
      <c r="AH53" s="69">
        <f t="shared" ref="AH53:AH67" si="33">SUM(AD53:AG53)</f>
        <v>27623391</v>
      </c>
      <c r="AI53" s="277">
        <v>16497399</v>
      </c>
      <c r="AJ53" s="277">
        <v>0</v>
      </c>
      <c r="AK53" s="277">
        <v>0</v>
      </c>
      <c r="AL53" s="277">
        <v>0</v>
      </c>
      <c r="AM53" s="69">
        <f t="shared" ref="AM53:AM67" si="34">SUM(AI53:AL53)</f>
        <v>16497399</v>
      </c>
      <c r="AN53" s="277">
        <v>4417100</v>
      </c>
      <c r="AO53" s="277">
        <v>0</v>
      </c>
      <c r="AP53" s="277">
        <v>0</v>
      </c>
      <c r="AQ53" s="277">
        <v>0</v>
      </c>
      <c r="AR53" s="69">
        <f t="shared" ref="AR53:AR67" si="35">SUM(AN53:AQ53)</f>
        <v>4417100</v>
      </c>
      <c r="AS53" s="277">
        <v>2309095</v>
      </c>
      <c r="AT53" s="277">
        <v>0</v>
      </c>
      <c r="AU53" s="277">
        <v>0</v>
      </c>
      <c r="AV53" s="277">
        <v>0</v>
      </c>
      <c r="AW53" s="69">
        <f t="shared" ref="AW53:AW67" si="36">SUM(AS53:AV53)</f>
        <v>2309095</v>
      </c>
      <c r="AX53" s="277">
        <v>21144106</v>
      </c>
      <c r="AY53" s="277">
        <v>0</v>
      </c>
      <c r="AZ53" s="277">
        <v>0</v>
      </c>
      <c r="BA53" s="277">
        <v>0</v>
      </c>
      <c r="BB53" s="69">
        <f t="shared" ref="BB53:BB67" si="37">SUM(AX53:BA53)</f>
        <v>21144106</v>
      </c>
      <c r="BC53" s="277">
        <v>28808072</v>
      </c>
      <c r="BD53" s="277">
        <v>0</v>
      </c>
      <c r="BE53" s="277">
        <v>0</v>
      </c>
      <c r="BF53" s="277">
        <v>0</v>
      </c>
      <c r="BG53" s="69">
        <f t="shared" ref="BG53:BG67" si="38">SUM(BC53:BF53)</f>
        <v>28808072</v>
      </c>
      <c r="BH53" s="277">
        <v>0</v>
      </c>
      <c r="BI53" s="277">
        <v>0</v>
      </c>
      <c r="BJ53" s="277">
        <v>0</v>
      </c>
      <c r="BK53" s="277">
        <v>0</v>
      </c>
      <c r="BL53" s="69">
        <f t="shared" ref="BL53:BL67" si="39">SUM(BH53:BK53)</f>
        <v>0</v>
      </c>
      <c r="BM53" s="277">
        <v>0</v>
      </c>
      <c r="BN53" s="277">
        <v>0</v>
      </c>
      <c r="BO53" s="277">
        <v>0</v>
      </c>
      <c r="BP53" s="277">
        <v>0</v>
      </c>
      <c r="BQ53" s="69">
        <f t="shared" ref="BQ53:BQ67" si="40">SUM(BM53:BP53)</f>
        <v>0</v>
      </c>
      <c r="BR53" s="277">
        <f t="shared" ref="BR53:BU59" si="41">+J53+O53+T53+Y53+AD53+AI53+AN53+AS53+AX53+BC53+BH53+BM53</f>
        <v>156175771.5</v>
      </c>
      <c r="BS53" s="277">
        <f t="shared" si="41"/>
        <v>0</v>
      </c>
      <c r="BT53" s="277">
        <f t="shared" si="41"/>
        <v>0</v>
      </c>
      <c r="BU53" s="277">
        <f>+M53+R53+W53+AB53+AG53+AL53+AQ53+AV53+BA53+BF53+BK53+BP53</f>
        <v>0</v>
      </c>
      <c r="BV53" s="69">
        <f t="shared" ref="BV53:BV67" si="42">SUM(BR53:BU53)</f>
        <v>156175771.5</v>
      </c>
      <c r="BW53" s="44"/>
      <c r="BX53" s="279"/>
    </row>
    <row r="54" spans="1:78" s="233" customFormat="1" x14ac:dyDescent="0.2">
      <c r="A54" s="232" t="s">
        <v>232</v>
      </c>
      <c r="D54" s="231"/>
      <c r="E54" s="277">
        <v>148797.45000000001</v>
      </c>
      <c r="F54" s="277">
        <v>0</v>
      </c>
      <c r="G54" s="277">
        <v>0</v>
      </c>
      <c r="H54" s="277">
        <v>0</v>
      </c>
      <c r="I54" s="69">
        <f>SUM(E54:H54)</f>
        <v>148797.45000000001</v>
      </c>
      <c r="J54" s="278">
        <v>316</v>
      </c>
      <c r="K54" s="277">
        <v>0</v>
      </c>
      <c r="L54" s="277">
        <v>0</v>
      </c>
      <c r="M54" s="277">
        <v>0</v>
      </c>
      <c r="N54" s="69">
        <f t="shared" si="29"/>
        <v>316</v>
      </c>
      <c r="O54" s="277">
        <v>17220</v>
      </c>
      <c r="P54" s="277">
        <v>0</v>
      </c>
      <c r="Q54" s="277">
        <v>0</v>
      </c>
      <c r="R54" s="277">
        <v>0</v>
      </c>
      <c r="S54" s="69">
        <f t="shared" si="30"/>
        <v>17220</v>
      </c>
      <c r="T54" s="277">
        <v>251</v>
      </c>
      <c r="U54" s="277">
        <v>0</v>
      </c>
      <c r="V54" s="277">
        <v>0</v>
      </c>
      <c r="W54" s="277">
        <v>0</v>
      </c>
      <c r="X54" s="69">
        <f t="shared" si="31"/>
        <v>251</v>
      </c>
      <c r="Y54" s="186">
        <v>737.5</v>
      </c>
      <c r="Z54" s="277">
        <v>0</v>
      </c>
      <c r="AA54" s="277">
        <v>0</v>
      </c>
      <c r="AB54" s="277">
        <v>0</v>
      </c>
      <c r="AC54" s="69">
        <f t="shared" si="32"/>
        <v>737.5</v>
      </c>
      <c r="AD54" s="277">
        <v>669</v>
      </c>
      <c r="AE54" s="277">
        <v>0</v>
      </c>
      <c r="AF54" s="277">
        <v>0</v>
      </c>
      <c r="AG54" s="277">
        <v>0</v>
      </c>
      <c r="AH54" s="69">
        <f t="shared" si="33"/>
        <v>669</v>
      </c>
      <c r="AI54" s="277">
        <v>120</v>
      </c>
      <c r="AJ54" s="277">
        <v>0</v>
      </c>
      <c r="AK54" s="277">
        <v>0</v>
      </c>
      <c r="AL54" s="277">
        <v>0</v>
      </c>
      <c r="AM54" s="69">
        <f t="shared" si="34"/>
        <v>120</v>
      </c>
      <c r="AN54" s="277">
        <v>101263</v>
      </c>
      <c r="AO54" s="277">
        <v>0</v>
      </c>
      <c r="AP54" s="277">
        <v>0</v>
      </c>
      <c r="AQ54" s="277">
        <v>0</v>
      </c>
      <c r="AR54" s="69">
        <f t="shared" si="35"/>
        <v>101263</v>
      </c>
      <c r="AS54" s="277">
        <v>5780</v>
      </c>
      <c r="AT54" s="277">
        <v>0</v>
      </c>
      <c r="AU54" s="277">
        <v>0</v>
      </c>
      <c r="AV54" s="277">
        <v>0</v>
      </c>
      <c r="AW54" s="69">
        <f t="shared" si="36"/>
        <v>5780</v>
      </c>
      <c r="AX54" s="277">
        <v>902</v>
      </c>
      <c r="AY54" s="277">
        <v>0</v>
      </c>
      <c r="AZ54" s="277">
        <v>0</v>
      </c>
      <c r="BA54" s="277">
        <v>0</v>
      </c>
      <c r="BB54" s="69">
        <f t="shared" si="37"/>
        <v>902</v>
      </c>
      <c r="BC54" s="277">
        <v>411</v>
      </c>
      <c r="BD54" s="277">
        <v>0</v>
      </c>
      <c r="BE54" s="277">
        <v>0</v>
      </c>
      <c r="BF54" s="277">
        <v>0</v>
      </c>
      <c r="BG54" s="69">
        <f t="shared" si="38"/>
        <v>411</v>
      </c>
      <c r="BH54" s="277">
        <v>0</v>
      </c>
      <c r="BI54" s="277">
        <v>0</v>
      </c>
      <c r="BJ54" s="277">
        <v>0</v>
      </c>
      <c r="BK54" s="277">
        <v>0</v>
      </c>
      <c r="BL54" s="69">
        <f t="shared" si="39"/>
        <v>0</v>
      </c>
      <c r="BM54" s="277">
        <v>0</v>
      </c>
      <c r="BN54" s="277">
        <v>0</v>
      </c>
      <c r="BO54" s="277">
        <v>0</v>
      </c>
      <c r="BP54" s="277">
        <v>0</v>
      </c>
      <c r="BQ54" s="69">
        <f t="shared" si="40"/>
        <v>0</v>
      </c>
      <c r="BR54" s="277">
        <f t="shared" si="41"/>
        <v>127669.5</v>
      </c>
      <c r="BS54" s="277">
        <f t="shared" si="41"/>
        <v>0</v>
      </c>
      <c r="BT54" s="277">
        <f t="shared" si="41"/>
        <v>0</v>
      </c>
      <c r="BU54" s="277">
        <f>+M54+R54+W54+AB54+AG54+AL54+AQ54+AV54+BA54+BF54+BK54+BP54</f>
        <v>0</v>
      </c>
      <c r="BV54" s="69">
        <f t="shared" si="42"/>
        <v>127669.5</v>
      </c>
      <c r="BW54" s="44"/>
      <c r="BX54" s="279"/>
    </row>
    <row r="55" spans="1:78" x14ac:dyDescent="0.2">
      <c r="A55" s="202" t="s">
        <v>233</v>
      </c>
      <c r="B55" s="227"/>
      <c r="D55" s="221"/>
      <c r="E55" s="269">
        <v>0</v>
      </c>
      <c r="F55" s="269">
        <v>505553753</v>
      </c>
      <c r="G55" s="269">
        <v>0</v>
      </c>
      <c r="H55" s="269">
        <v>0</v>
      </c>
      <c r="I55" s="39">
        <f t="shared" si="23"/>
        <v>505553753</v>
      </c>
      <c r="J55" s="268">
        <v>0</v>
      </c>
      <c r="K55" s="269">
        <v>42129484</v>
      </c>
      <c r="L55" s="269">
        <v>0</v>
      </c>
      <c r="M55" s="269">
        <v>0</v>
      </c>
      <c r="N55" s="39">
        <f t="shared" si="29"/>
        <v>42129484</v>
      </c>
      <c r="O55" s="269">
        <v>0</v>
      </c>
      <c r="P55" s="269">
        <v>42129482</v>
      </c>
      <c r="Q55" s="269">
        <v>0</v>
      </c>
      <c r="R55" s="269">
        <v>0</v>
      </c>
      <c r="S55" s="39">
        <f t="shared" si="30"/>
        <v>42129482</v>
      </c>
      <c r="T55" s="269">
        <v>0</v>
      </c>
      <c r="U55" s="269">
        <v>42129482</v>
      </c>
      <c r="V55" s="269">
        <v>0</v>
      </c>
      <c r="W55" s="269">
        <v>0</v>
      </c>
      <c r="X55" s="39">
        <f t="shared" si="31"/>
        <v>42129482</v>
      </c>
      <c r="Y55" s="269">
        <v>0</v>
      </c>
      <c r="Z55" s="269">
        <v>42129482</v>
      </c>
      <c r="AA55" s="269">
        <v>0</v>
      </c>
      <c r="AB55" s="269">
        <v>0</v>
      </c>
      <c r="AC55" s="39">
        <f t="shared" si="32"/>
        <v>42129482</v>
      </c>
      <c r="AD55" s="269">
        <v>0</v>
      </c>
      <c r="AE55" s="269">
        <v>42129480</v>
      </c>
      <c r="AF55" s="269">
        <v>0</v>
      </c>
      <c r="AG55" s="269">
        <v>0</v>
      </c>
      <c r="AH55" s="39">
        <f t="shared" si="33"/>
        <v>42129480</v>
      </c>
      <c r="AI55" s="269">
        <v>0</v>
      </c>
      <c r="AJ55" s="269">
        <v>42129480</v>
      </c>
      <c r="AK55" s="269">
        <v>0</v>
      </c>
      <c r="AL55" s="269">
        <v>0</v>
      </c>
      <c r="AM55" s="39">
        <f t="shared" si="34"/>
        <v>42129480</v>
      </c>
      <c r="AN55" s="269">
        <v>0</v>
      </c>
      <c r="AO55" s="269">
        <v>42129479</v>
      </c>
      <c r="AP55" s="269">
        <v>0</v>
      </c>
      <c r="AQ55" s="269">
        <v>0</v>
      </c>
      <c r="AR55" s="39">
        <f t="shared" si="35"/>
        <v>42129479</v>
      </c>
      <c r="AS55" s="269">
        <v>0</v>
      </c>
      <c r="AT55" s="269">
        <v>42129479</v>
      </c>
      <c r="AU55" s="269">
        <v>0</v>
      </c>
      <c r="AV55" s="269">
        <v>0</v>
      </c>
      <c r="AW55" s="39">
        <f t="shared" si="36"/>
        <v>42129479</v>
      </c>
      <c r="AX55" s="269">
        <v>0</v>
      </c>
      <c r="AY55" s="269">
        <v>42129478</v>
      </c>
      <c r="AZ55" s="269">
        <v>0</v>
      </c>
      <c r="BA55" s="269">
        <v>0</v>
      </c>
      <c r="BB55" s="39">
        <f t="shared" si="37"/>
        <v>42129478</v>
      </c>
      <c r="BC55" s="269">
        <v>0</v>
      </c>
      <c r="BD55" s="269">
        <v>42129477</v>
      </c>
      <c r="BE55" s="269">
        <v>0</v>
      </c>
      <c r="BF55" s="269">
        <v>0</v>
      </c>
      <c r="BG55" s="39">
        <f t="shared" si="38"/>
        <v>42129477</v>
      </c>
      <c r="BH55" s="269">
        <v>0</v>
      </c>
      <c r="BI55" s="269">
        <v>0</v>
      </c>
      <c r="BJ55" s="269">
        <v>0</v>
      </c>
      <c r="BK55" s="269">
        <v>0</v>
      </c>
      <c r="BL55" s="39">
        <f t="shared" si="39"/>
        <v>0</v>
      </c>
      <c r="BM55" s="269">
        <v>0</v>
      </c>
      <c r="BN55" s="269">
        <v>0</v>
      </c>
      <c r="BO55" s="269">
        <v>0</v>
      </c>
      <c r="BP55" s="269">
        <v>0</v>
      </c>
      <c r="BQ55" s="39">
        <f>SUM(BM55:BP55)</f>
        <v>0</v>
      </c>
      <c r="BR55" s="269">
        <f t="shared" si="41"/>
        <v>0</v>
      </c>
      <c r="BS55" s="269">
        <f t="shared" si="41"/>
        <v>421294803</v>
      </c>
      <c r="BT55" s="269">
        <f t="shared" si="41"/>
        <v>0</v>
      </c>
      <c r="BU55" s="269">
        <f>+M55+R55+W55+AB55+AG55+AL55+AQ55+AV55+BA55+BF55+BK55+BP55</f>
        <v>0</v>
      </c>
      <c r="BV55" s="39">
        <f t="shared" si="42"/>
        <v>421294803</v>
      </c>
      <c r="BW55" s="9"/>
      <c r="BX55" s="208"/>
      <c r="BY55" s="1"/>
    </row>
    <row r="56" spans="1:78" x14ac:dyDescent="0.2">
      <c r="A56" s="202" t="s">
        <v>234</v>
      </c>
      <c r="B56" s="227"/>
      <c r="D56" s="225"/>
      <c r="E56" s="269">
        <v>0</v>
      </c>
      <c r="F56" s="269">
        <v>13166793</v>
      </c>
      <c r="G56" s="269">
        <v>0</v>
      </c>
      <c r="H56" s="269">
        <v>0</v>
      </c>
      <c r="I56" s="39">
        <f t="shared" si="23"/>
        <v>13166793</v>
      </c>
      <c r="J56" s="268">
        <v>0</v>
      </c>
      <c r="K56" s="269">
        <v>0</v>
      </c>
      <c r="L56" s="269">
        <v>0</v>
      </c>
      <c r="M56" s="269">
        <v>0</v>
      </c>
      <c r="N56" s="39">
        <f t="shared" si="29"/>
        <v>0</v>
      </c>
      <c r="O56" s="269">
        <v>0</v>
      </c>
      <c r="P56" s="269">
        <v>0</v>
      </c>
      <c r="Q56" s="269">
        <v>0</v>
      </c>
      <c r="R56" s="269">
        <v>0</v>
      </c>
      <c r="S56" s="39">
        <f t="shared" si="30"/>
        <v>0</v>
      </c>
      <c r="T56" s="269">
        <v>0</v>
      </c>
      <c r="U56" s="269">
        <v>0</v>
      </c>
      <c r="V56" s="269">
        <v>0</v>
      </c>
      <c r="W56" s="269">
        <v>0</v>
      </c>
      <c r="X56" s="39">
        <f t="shared" si="31"/>
        <v>0</v>
      </c>
      <c r="Y56" s="269">
        <v>0</v>
      </c>
      <c r="Z56" s="269">
        <v>0</v>
      </c>
      <c r="AA56" s="269">
        <v>0</v>
      </c>
      <c r="AB56" s="269">
        <v>0</v>
      </c>
      <c r="AC56" s="39">
        <f t="shared" si="32"/>
        <v>0</v>
      </c>
      <c r="AD56" s="269">
        <v>0</v>
      </c>
      <c r="AE56" s="269">
        <v>4388928</v>
      </c>
      <c r="AF56" s="269">
        <v>0</v>
      </c>
      <c r="AG56" s="269">
        <v>0</v>
      </c>
      <c r="AH56" s="39">
        <f t="shared" si="33"/>
        <v>4388928</v>
      </c>
      <c r="AI56" s="269">
        <v>0</v>
      </c>
      <c r="AJ56" s="269">
        <v>0</v>
      </c>
      <c r="AK56" s="269">
        <v>0</v>
      </c>
      <c r="AL56" s="269">
        <v>0</v>
      </c>
      <c r="AM56" s="39">
        <f t="shared" si="34"/>
        <v>0</v>
      </c>
      <c r="AN56" s="269">
        <v>0</v>
      </c>
      <c r="AO56" s="269">
        <v>0</v>
      </c>
      <c r="AP56" s="269">
        <v>0</v>
      </c>
      <c r="AQ56" s="269">
        <v>0</v>
      </c>
      <c r="AR56" s="39">
        <f t="shared" si="35"/>
        <v>0</v>
      </c>
      <c r="AS56" s="269">
        <v>0</v>
      </c>
      <c r="AT56" s="269">
        <v>0</v>
      </c>
      <c r="AU56" s="269">
        <v>0</v>
      </c>
      <c r="AV56" s="269">
        <v>0</v>
      </c>
      <c r="AW56" s="39">
        <f t="shared" si="36"/>
        <v>0</v>
      </c>
      <c r="AX56" s="269">
        <v>0</v>
      </c>
      <c r="AY56" s="269">
        <v>4388931</v>
      </c>
      <c r="AZ56" s="269">
        <v>0</v>
      </c>
      <c r="BA56" s="269">
        <v>0</v>
      </c>
      <c r="BB56" s="39">
        <f t="shared" si="37"/>
        <v>4388931</v>
      </c>
      <c r="BC56" s="269">
        <v>0</v>
      </c>
      <c r="BD56" s="269">
        <v>0</v>
      </c>
      <c r="BE56" s="269">
        <v>0</v>
      </c>
      <c r="BF56" s="269">
        <v>0</v>
      </c>
      <c r="BG56" s="39">
        <f t="shared" si="38"/>
        <v>0</v>
      </c>
      <c r="BH56" s="269">
        <v>0</v>
      </c>
      <c r="BI56" s="269">
        <v>0</v>
      </c>
      <c r="BJ56" s="269">
        <v>0</v>
      </c>
      <c r="BK56" s="269">
        <v>0</v>
      </c>
      <c r="BL56" s="39">
        <f t="shared" si="39"/>
        <v>0</v>
      </c>
      <c r="BM56" s="269">
        <v>0</v>
      </c>
      <c r="BN56" s="269">
        <v>0</v>
      </c>
      <c r="BO56" s="269">
        <v>0</v>
      </c>
      <c r="BP56" s="269">
        <v>0</v>
      </c>
      <c r="BQ56" s="39">
        <f t="shared" si="40"/>
        <v>0</v>
      </c>
      <c r="BR56" s="269">
        <f t="shared" si="41"/>
        <v>0</v>
      </c>
      <c r="BS56" s="269">
        <f t="shared" si="41"/>
        <v>8777859</v>
      </c>
      <c r="BT56" s="269">
        <f t="shared" si="41"/>
        <v>0</v>
      </c>
      <c r="BU56" s="269">
        <f>+M56+R56+W56+AB56+AG56+AL56+AQ56+AV56+BA56+BF56+BK56+BP56</f>
        <v>0</v>
      </c>
      <c r="BV56" s="39">
        <f t="shared" si="42"/>
        <v>8777859</v>
      </c>
      <c r="BW56" s="9"/>
      <c r="BX56" s="208"/>
    </row>
    <row r="57" spans="1:78" ht="12" customHeight="1" x14ac:dyDescent="0.2">
      <c r="A57" s="202" t="s">
        <v>235</v>
      </c>
      <c r="B57" s="227"/>
      <c r="D57" s="221" t="s">
        <v>59</v>
      </c>
      <c r="E57" s="269">
        <v>0</v>
      </c>
      <c r="F57" s="269">
        <v>0</v>
      </c>
      <c r="G57" s="269">
        <v>0</v>
      </c>
      <c r="H57" s="269">
        <v>468468</v>
      </c>
      <c r="I57" s="39">
        <f t="shared" ref="I57:I67" si="43">SUM(E57:H57)</f>
        <v>468468</v>
      </c>
      <c r="J57" s="268">
        <v>0</v>
      </c>
      <c r="K57" s="269">
        <v>0</v>
      </c>
      <c r="L57" s="269">
        <v>0</v>
      </c>
      <c r="M57" s="269">
        <f>-[46]original!$G$40</f>
        <v>131872</v>
      </c>
      <c r="N57" s="39">
        <f t="shared" si="29"/>
        <v>131872</v>
      </c>
      <c r="O57" s="269">
        <v>0</v>
      </c>
      <c r="P57" s="269">
        <v>0</v>
      </c>
      <c r="Q57" s="269">
        <v>0</v>
      </c>
      <c r="R57" s="269">
        <f>-[47]original!$H$40</f>
        <v>83878</v>
      </c>
      <c r="S57" s="39">
        <f>SUM(O57:R57)</f>
        <v>83878</v>
      </c>
      <c r="T57" s="269">
        <v>0</v>
      </c>
      <c r="U57" s="269">
        <v>0</v>
      </c>
      <c r="V57" s="269">
        <v>0</v>
      </c>
      <c r="W57" s="269">
        <f>-[48]original!$I$40</f>
        <v>23306</v>
      </c>
      <c r="X57" s="39">
        <f t="shared" si="31"/>
        <v>23306</v>
      </c>
      <c r="Y57" s="269">
        <v>0</v>
      </c>
      <c r="Z57" s="269">
        <v>0</v>
      </c>
      <c r="AA57" s="269">
        <v>0</v>
      </c>
      <c r="AB57" s="269">
        <f>-[49]original!$X$40</f>
        <v>119906</v>
      </c>
      <c r="AC57" s="39">
        <f t="shared" si="32"/>
        <v>119906</v>
      </c>
      <c r="AD57" s="269">
        <v>0</v>
      </c>
      <c r="AE57" s="269">
        <v>0</v>
      </c>
      <c r="AF57" s="269">
        <v>0</v>
      </c>
      <c r="AG57" s="269">
        <f>-[50]original!$K$40</f>
        <v>230</v>
      </c>
      <c r="AH57" s="39">
        <f t="shared" ref="AH57:AH64" si="44">SUM(AD57:AG57)</f>
        <v>230</v>
      </c>
      <c r="AI57" s="269">
        <v>0</v>
      </c>
      <c r="AJ57" s="269">
        <v>0</v>
      </c>
      <c r="AK57" s="269">
        <v>0</v>
      </c>
      <c r="AL57" s="269">
        <v>21</v>
      </c>
      <c r="AM57" s="39">
        <f>SUM(AI57:AL57)</f>
        <v>21</v>
      </c>
      <c r="AN57" s="269">
        <v>0</v>
      </c>
      <c r="AO57" s="269">
        <v>0</v>
      </c>
      <c r="AP57" s="269">
        <v>0</v>
      </c>
      <c r="AQ57" s="269">
        <v>30</v>
      </c>
      <c r="AR57" s="39">
        <f t="shared" si="35"/>
        <v>30</v>
      </c>
      <c r="AS57" s="269">
        <v>0</v>
      </c>
      <c r="AT57" s="269">
        <v>0</v>
      </c>
      <c r="AU57" s="269">
        <v>0</v>
      </c>
      <c r="AV57" s="269">
        <f>-[51]original!$N$40</f>
        <v>1363</v>
      </c>
      <c r="AW57" s="39">
        <f t="shared" si="36"/>
        <v>1363</v>
      </c>
      <c r="AX57" s="269">
        <v>0</v>
      </c>
      <c r="AY57" s="269">
        <v>0</v>
      </c>
      <c r="AZ57" s="269">
        <v>0</v>
      </c>
      <c r="BA57" s="269">
        <f>-[52]original!$AC$40</f>
        <v>107525</v>
      </c>
      <c r="BB57" s="39">
        <f>SUM(AX57:BA57)</f>
        <v>107525</v>
      </c>
      <c r="BC57" s="269">
        <v>0</v>
      </c>
      <c r="BD57" s="269">
        <v>0</v>
      </c>
      <c r="BE57" s="269">
        <v>0</v>
      </c>
      <c r="BF57" s="269">
        <f>-[53]original!$P$40</f>
        <v>298</v>
      </c>
      <c r="BG57" s="39">
        <f t="shared" si="38"/>
        <v>298</v>
      </c>
      <c r="BH57" s="269">
        <v>0</v>
      </c>
      <c r="BI57" s="269">
        <v>0</v>
      </c>
      <c r="BJ57" s="269">
        <v>0</v>
      </c>
      <c r="BK57" s="269">
        <v>0</v>
      </c>
      <c r="BL57" s="39">
        <f t="shared" si="39"/>
        <v>0</v>
      </c>
      <c r="BM57" s="269">
        <v>0</v>
      </c>
      <c r="BN57" s="269">
        <v>0</v>
      </c>
      <c r="BO57" s="269">
        <v>0</v>
      </c>
      <c r="BP57" s="269">
        <v>0</v>
      </c>
      <c r="BQ57" s="39">
        <f t="shared" si="40"/>
        <v>0</v>
      </c>
      <c r="BR57" s="269">
        <f t="shared" si="41"/>
        <v>0</v>
      </c>
      <c r="BS57" s="269">
        <f t="shared" si="41"/>
        <v>0</v>
      </c>
      <c r="BT57" s="269">
        <f t="shared" si="41"/>
        <v>0</v>
      </c>
      <c r="BU57" s="269">
        <f>+M57+R57+W57+AB57+AG57+AL57+AQ57+AV57+BA57+BF57+BK57+BP57</f>
        <v>468429</v>
      </c>
      <c r="BV57" s="39">
        <f t="shared" si="42"/>
        <v>468429</v>
      </c>
      <c r="BW57" s="9"/>
      <c r="BX57" s="208"/>
    </row>
    <row r="58" spans="1:78" hidden="1" x14ac:dyDescent="0.2">
      <c r="A58" s="202" t="s">
        <v>275</v>
      </c>
      <c r="B58" s="227"/>
      <c r="D58" s="221" t="s">
        <v>87</v>
      </c>
      <c r="E58" s="269">
        <v>0</v>
      </c>
      <c r="F58" s="269">
        <v>0</v>
      </c>
      <c r="G58" s="269">
        <v>0</v>
      </c>
      <c r="H58" s="269">
        <v>0</v>
      </c>
      <c r="I58" s="39">
        <f t="shared" si="43"/>
        <v>0</v>
      </c>
      <c r="J58" s="268">
        <v>0</v>
      </c>
      <c r="K58" s="269">
        <v>0</v>
      </c>
      <c r="L58" s="269">
        <v>0</v>
      </c>
      <c r="M58" s="269">
        <v>13500000</v>
      </c>
      <c r="N58" s="39">
        <f t="shared" si="29"/>
        <v>13500000</v>
      </c>
      <c r="O58" s="269">
        <v>0</v>
      </c>
      <c r="P58" s="269">
        <v>0</v>
      </c>
      <c r="Q58" s="269">
        <v>0</v>
      </c>
      <c r="R58" s="269">
        <v>0</v>
      </c>
      <c r="S58" s="39">
        <f t="shared" si="30"/>
        <v>0</v>
      </c>
      <c r="T58" s="269">
        <v>0</v>
      </c>
      <c r="U58" s="269">
        <v>0</v>
      </c>
      <c r="V58" s="269">
        <v>0</v>
      </c>
      <c r="W58" s="269">
        <v>0</v>
      </c>
      <c r="X58" s="39">
        <f t="shared" si="31"/>
        <v>0</v>
      </c>
      <c r="Y58" s="269">
        <v>0</v>
      </c>
      <c r="Z58" s="269">
        <v>0</v>
      </c>
      <c r="AA58" s="269">
        <v>0</v>
      </c>
      <c r="AB58" s="269">
        <v>0</v>
      </c>
      <c r="AC58" s="39">
        <f t="shared" si="32"/>
        <v>0</v>
      </c>
      <c r="AD58" s="269">
        <v>0</v>
      </c>
      <c r="AE58" s="269">
        <v>0</v>
      </c>
      <c r="AF58" s="269">
        <v>0</v>
      </c>
      <c r="AG58" s="269">
        <v>0</v>
      </c>
      <c r="AH58" s="39">
        <f t="shared" si="44"/>
        <v>0</v>
      </c>
      <c r="AI58" s="269">
        <v>0</v>
      </c>
      <c r="AJ58" s="269">
        <v>0</v>
      </c>
      <c r="AK58" s="269">
        <v>0</v>
      </c>
      <c r="AL58" s="269">
        <v>-13500000</v>
      </c>
      <c r="AM58" s="39">
        <f t="shared" si="34"/>
        <v>-13500000</v>
      </c>
      <c r="AN58" s="269">
        <v>0</v>
      </c>
      <c r="AO58" s="269">
        <v>0</v>
      </c>
      <c r="AP58" s="269">
        <v>0</v>
      </c>
      <c r="AQ58" s="269">
        <v>0</v>
      </c>
      <c r="AR58" s="39">
        <f t="shared" si="35"/>
        <v>0</v>
      </c>
      <c r="AS58" s="269">
        <v>0</v>
      </c>
      <c r="AT58" s="269">
        <v>0</v>
      </c>
      <c r="AU58" s="269">
        <v>0</v>
      </c>
      <c r="AV58" s="269">
        <v>0</v>
      </c>
      <c r="AW58" s="39">
        <f t="shared" si="36"/>
        <v>0</v>
      </c>
      <c r="AX58" s="269">
        <v>0</v>
      </c>
      <c r="AY58" s="269">
        <v>0</v>
      </c>
      <c r="AZ58" s="269">
        <v>0</v>
      </c>
      <c r="BA58" s="269">
        <v>0</v>
      </c>
      <c r="BB58" s="39">
        <f t="shared" si="37"/>
        <v>0</v>
      </c>
      <c r="BC58" s="269">
        <v>0</v>
      </c>
      <c r="BD58" s="269">
        <v>0</v>
      </c>
      <c r="BE58" s="269">
        <v>0</v>
      </c>
      <c r="BF58" s="269">
        <v>0</v>
      </c>
      <c r="BG58" s="39">
        <f t="shared" si="38"/>
        <v>0</v>
      </c>
      <c r="BH58" s="269">
        <v>0</v>
      </c>
      <c r="BI58" s="269">
        <v>0</v>
      </c>
      <c r="BJ58" s="269">
        <v>0</v>
      </c>
      <c r="BK58" s="269">
        <v>0</v>
      </c>
      <c r="BL58" s="39">
        <f t="shared" si="39"/>
        <v>0</v>
      </c>
      <c r="BM58" s="269">
        <v>0</v>
      </c>
      <c r="BN58" s="269">
        <v>0</v>
      </c>
      <c r="BO58" s="269">
        <v>0</v>
      </c>
      <c r="BP58" s="269">
        <v>0</v>
      </c>
      <c r="BQ58" s="39">
        <f t="shared" si="40"/>
        <v>0</v>
      </c>
      <c r="BR58" s="269">
        <f t="shared" si="41"/>
        <v>0</v>
      </c>
      <c r="BS58" s="269">
        <f t="shared" si="41"/>
        <v>0</v>
      </c>
      <c r="BT58" s="269">
        <f t="shared" si="41"/>
        <v>0</v>
      </c>
      <c r="BU58" s="269">
        <f t="shared" si="41"/>
        <v>0</v>
      </c>
      <c r="BV58" s="39">
        <f t="shared" ref="BV58:BV63" si="45">SUM(BR58:BU58)</f>
        <v>0</v>
      </c>
      <c r="BW58" s="9"/>
      <c r="BX58" s="208"/>
    </row>
    <row r="59" spans="1:78" x14ac:dyDescent="0.2">
      <c r="A59" s="202" t="s">
        <v>276</v>
      </c>
      <c r="B59" s="227"/>
      <c r="D59" s="221" t="s">
        <v>87</v>
      </c>
      <c r="E59" s="269">
        <v>0</v>
      </c>
      <c r="F59" s="269">
        <v>0</v>
      </c>
      <c r="G59" s="269">
        <v>0</v>
      </c>
      <c r="H59" s="269">
        <v>0</v>
      </c>
      <c r="I59" s="39">
        <f t="shared" si="43"/>
        <v>0</v>
      </c>
      <c r="J59" s="268">
        <v>0</v>
      </c>
      <c r="K59" s="269">
        <v>0</v>
      </c>
      <c r="L59" s="269">
        <v>0</v>
      </c>
      <c r="M59" s="269">
        <v>0</v>
      </c>
      <c r="N59" s="39">
        <f t="shared" si="29"/>
        <v>0</v>
      </c>
      <c r="O59" s="269">
        <v>0</v>
      </c>
      <c r="P59" s="269">
        <v>0</v>
      </c>
      <c r="Q59" s="269">
        <v>0</v>
      </c>
      <c r="R59" s="269">
        <v>0</v>
      </c>
      <c r="S59" s="39">
        <f>SUM(O59:R59)</f>
        <v>0</v>
      </c>
      <c r="T59" s="269">
        <v>0</v>
      </c>
      <c r="U59" s="269">
        <v>0</v>
      </c>
      <c r="V59" s="269">
        <v>0</v>
      </c>
      <c r="W59" s="269">
        <v>0</v>
      </c>
      <c r="X59" s="39">
        <f t="shared" si="31"/>
        <v>0</v>
      </c>
      <c r="Y59" s="269">
        <v>0</v>
      </c>
      <c r="Z59" s="269">
        <v>0</v>
      </c>
      <c r="AA59" s="269">
        <v>0</v>
      </c>
      <c r="AB59" s="269">
        <v>0</v>
      </c>
      <c r="AC59" s="39">
        <f>SUM(Y59:AB59)</f>
        <v>0</v>
      </c>
      <c r="AD59" s="269">
        <f t="shared" ref="AD59:AI59" si="46">SUM(AD60:AD63)</f>
        <v>0</v>
      </c>
      <c r="AE59" s="269">
        <f t="shared" si="46"/>
        <v>0</v>
      </c>
      <c r="AF59" s="269">
        <f t="shared" si="46"/>
        <v>0</v>
      </c>
      <c r="AG59" s="269">
        <f t="shared" si="46"/>
        <v>3800000</v>
      </c>
      <c r="AH59" s="39">
        <f t="shared" si="46"/>
        <v>3800000</v>
      </c>
      <c r="AI59" s="269">
        <f t="shared" si="46"/>
        <v>0</v>
      </c>
      <c r="AJ59" s="269">
        <f>SUM(AJ60:AJ62)</f>
        <v>0</v>
      </c>
      <c r="AK59" s="269">
        <f>SUM(AK60:AK62)</f>
        <v>0</v>
      </c>
      <c r="AL59" s="269">
        <f>SUM(AL60:AL62)</f>
        <v>3800000</v>
      </c>
      <c r="AM59" s="39">
        <f>SUM(AM60:AM62)</f>
        <v>3800000</v>
      </c>
      <c r="AN59" s="269">
        <f>SUM(AN60:AN63)</f>
        <v>0</v>
      </c>
      <c r="AO59" s="269">
        <f>SUM(AO60:AO63)</f>
        <v>0</v>
      </c>
      <c r="AP59" s="269">
        <f>SUM(AP60:AP63)</f>
        <v>0</v>
      </c>
      <c r="AQ59" s="269">
        <f>SUM(AQ60:AQ63)</f>
        <v>2100000</v>
      </c>
      <c r="AR59" s="39">
        <f t="shared" si="35"/>
        <v>2100000</v>
      </c>
      <c r="AS59" s="269">
        <v>0</v>
      </c>
      <c r="AT59" s="269">
        <v>0</v>
      </c>
      <c r="AU59" s="269">
        <v>0</v>
      </c>
      <c r="AV59" s="269">
        <v>0</v>
      </c>
      <c r="AW59" s="39">
        <f t="shared" si="36"/>
        <v>0</v>
      </c>
      <c r="AX59" s="269">
        <v>0</v>
      </c>
      <c r="AY59" s="269">
        <v>0</v>
      </c>
      <c r="AZ59" s="269">
        <v>0</v>
      </c>
      <c r="BA59" s="269">
        <v>0</v>
      </c>
      <c r="BB59" s="39">
        <f t="shared" si="37"/>
        <v>0</v>
      </c>
      <c r="BC59" s="269">
        <f>SUM(BC60:BC63)</f>
        <v>0</v>
      </c>
      <c r="BD59" s="269">
        <f>SUM(BD60:BD63)</f>
        <v>0</v>
      </c>
      <c r="BE59" s="269">
        <f>SUM(BE60:BE63)</f>
        <v>0</v>
      </c>
      <c r="BF59" s="269">
        <f>SUM(BF60:BF63)</f>
        <v>-9700000</v>
      </c>
      <c r="BG59" s="39">
        <f t="shared" si="38"/>
        <v>-9700000</v>
      </c>
      <c r="BH59" s="269">
        <v>0</v>
      </c>
      <c r="BI59" s="269">
        <v>0</v>
      </c>
      <c r="BJ59" s="269">
        <v>0</v>
      </c>
      <c r="BK59" s="269">
        <v>0</v>
      </c>
      <c r="BL59" s="39">
        <f t="shared" si="39"/>
        <v>0</v>
      </c>
      <c r="BM59" s="269">
        <v>0</v>
      </c>
      <c r="BN59" s="269">
        <v>0</v>
      </c>
      <c r="BO59" s="269">
        <v>0</v>
      </c>
      <c r="BP59" s="269">
        <v>0</v>
      </c>
      <c r="BQ59" s="39">
        <f t="shared" si="40"/>
        <v>0</v>
      </c>
      <c r="BR59" s="269">
        <f>+J59+O59+T59+Y59+AD59+AI59+AN59+AS59+AX59+BC59+BH59+BM59</f>
        <v>0</v>
      </c>
      <c r="BS59" s="269">
        <f t="shared" si="41"/>
        <v>0</v>
      </c>
      <c r="BT59" s="269">
        <f t="shared" si="41"/>
        <v>0</v>
      </c>
      <c r="BU59" s="269">
        <f t="shared" si="41"/>
        <v>0</v>
      </c>
      <c r="BV59" s="39">
        <f t="shared" si="45"/>
        <v>0</v>
      </c>
      <c r="BW59" s="9"/>
      <c r="BX59" s="208"/>
    </row>
    <row r="60" spans="1:78" x14ac:dyDescent="0.2">
      <c r="A60" s="232" t="s">
        <v>277</v>
      </c>
      <c r="B60" s="227"/>
      <c r="D60" s="221"/>
      <c r="E60" s="269">
        <v>0</v>
      </c>
      <c r="F60" s="269">
        <v>0</v>
      </c>
      <c r="G60" s="269">
        <v>0</v>
      </c>
      <c r="H60" s="269">
        <v>0</v>
      </c>
      <c r="I60" s="39">
        <f>SUM(E60:H60)</f>
        <v>0</v>
      </c>
      <c r="J60" s="268">
        <v>0</v>
      </c>
      <c r="K60" s="269">
        <v>0</v>
      </c>
      <c r="L60" s="269">
        <v>0</v>
      </c>
      <c r="M60" s="269">
        <v>0</v>
      </c>
      <c r="N60" s="39">
        <f t="shared" si="29"/>
        <v>0</v>
      </c>
      <c r="O60" s="269">
        <v>0</v>
      </c>
      <c r="P60" s="269">
        <v>0</v>
      </c>
      <c r="Q60" s="269">
        <v>0</v>
      </c>
      <c r="R60" s="269">
        <v>0</v>
      </c>
      <c r="S60" s="39">
        <f>SUM(O60:R60)</f>
        <v>0</v>
      </c>
      <c r="T60" s="269">
        <v>0</v>
      </c>
      <c r="U60" s="269">
        <v>0</v>
      </c>
      <c r="V60" s="269">
        <v>0</v>
      </c>
      <c r="W60" s="269">
        <v>0</v>
      </c>
      <c r="X60" s="39">
        <f t="shared" si="31"/>
        <v>0</v>
      </c>
      <c r="Y60" s="269">
        <v>0</v>
      </c>
      <c r="Z60" s="269">
        <v>0</v>
      </c>
      <c r="AA60" s="269">
        <v>0</v>
      </c>
      <c r="AB60" s="269">
        <v>0</v>
      </c>
      <c r="AC60" s="39">
        <f>SUM(Y60:AB60)</f>
        <v>0</v>
      </c>
      <c r="AD60" s="277">
        <v>0</v>
      </c>
      <c r="AE60" s="277">
        <v>0</v>
      </c>
      <c r="AF60" s="277">
        <v>0</v>
      </c>
      <c r="AG60" s="277">
        <v>2000000</v>
      </c>
      <c r="AH60" s="69">
        <f t="shared" si="44"/>
        <v>2000000</v>
      </c>
      <c r="AI60" s="269">
        <v>0</v>
      </c>
      <c r="AJ60" s="269">
        <v>0</v>
      </c>
      <c r="AK60" s="269">
        <v>0</v>
      </c>
      <c r="AL60" s="277">
        <v>3500000</v>
      </c>
      <c r="AM60" s="69">
        <f>SUM(AI60:AL60)</f>
        <v>3500000</v>
      </c>
      <c r="AN60" s="269">
        <v>0</v>
      </c>
      <c r="AO60" s="269">
        <v>0</v>
      </c>
      <c r="AP60" s="269">
        <v>0</v>
      </c>
      <c r="AQ60" s="269">
        <v>0</v>
      </c>
      <c r="AR60" s="39">
        <f t="shared" si="35"/>
        <v>0</v>
      </c>
      <c r="AS60" s="269">
        <v>0</v>
      </c>
      <c r="AT60" s="269">
        <v>0</v>
      </c>
      <c r="AU60" s="269">
        <v>0</v>
      </c>
      <c r="AV60" s="269">
        <v>0</v>
      </c>
      <c r="AW60" s="39">
        <f t="shared" si="36"/>
        <v>0</v>
      </c>
      <c r="AX60" s="269">
        <v>0</v>
      </c>
      <c r="AY60" s="269">
        <v>0</v>
      </c>
      <c r="AZ60" s="269">
        <v>0</v>
      </c>
      <c r="BA60" s="269">
        <v>0</v>
      </c>
      <c r="BB60" s="39">
        <f t="shared" si="37"/>
        <v>0</v>
      </c>
      <c r="BC60" s="269">
        <v>0</v>
      </c>
      <c r="BD60" s="269">
        <v>0</v>
      </c>
      <c r="BE60" s="269">
        <v>0</v>
      </c>
      <c r="BF60" s="269">
        <v>-5500000</v>
      </c>
      <c r="BG60" s="39">
        <f t="shared" si="38"/>
        <v>-5500000</v>
      </c>
      <c r="BH60" s="269">
        <v>0</v>
      </c>
      <c r="BI60" s="269">
        <v>0</v>
      </c>
      <c r="BJ60" s="269">
        <v>0</v>
      </c>
      <c r="BK60" s="269">
        <v>0</v>
      </c>
      <c r="BL60" s="39">
        <f t="shared" si="39"/>
        <v>0</v>
      </c>
      <c r="BM60" s="269">
        <v>0</v>
      </c>
      <c r="BN60" s="269">
        <v>0</v>
      </c>
      <c r="BO60" s="269">
        <v>0</v>
      </c>
      <c r="BP60" s="269">
        <v>0</v>
      </c>
      <c r="BQ60" s="39">
        <f t="shared" si="40"/>
        <v>0</v>
      </c>
      <c r="BR60" s="277">
        <f t="shared" ref="BR60:BU67" si="47">+J60+O60+T60+Y60+AD60+AI60+AN60+AS60+AX60+BC60+BH60+BM60</f>
        <v>0</v>
      </c>
      <c r="BS60" s="277">
        <f t="shared" si="47"/>
        <v>0</v>
      </c>
      <c r="BT60" s="277">
        <f t="shared" si="47"/>
        <v>0</v>
      </c>
      <c r="BU60" s="277">
        <f>+M60+R60+W60+AB60+AG60+AL60+AQ60+AV60+BA60+BF60+BK60+BP60</f>
        <v>0</v>
      </c>
      <c r="BV60" s="69">
        <f t="shared" si="45"/>
        <v>0</v>
      </c>
      <c r="BW60" s="9"/>
      <c r="BX60" s="208"/>
    </row>
    <row r="61" spans="1:78" x14ac:dyDescent="0.2">
      <c r="A61" s="232" t="s">
        <v>278</v>
      </c>
      <c r="B61" s="227"/>
      <c r="D61" s="221"/>
      <c r="E61" s="269">
        <v>0</v>
      </c>
      <c r="F61" s="269">
        <v>0</v>
      </c>
      <c r="G61" s="269">
        <v>0</v>
      </c>
      <c r="H61" s="269">
        <v>0</v>
      </c>
      <c r="I61" s="39">
        <f>SUM(E61:H61)</f>
        <v>0</v>
      </c>
      <c r="J61" s="268">
        <v>0</v>
      </c>
      <c r="K61" s="269">
        <v>0</v>
      </c>
      <c r="L61" s="269">
        <v>0</v>
      </c>
      <c r="M61" s="269">
        <v>0</v>
      </c>
      <c r="N61" s="39">
        <f t="shared" si="29"/>
        <v>0</v>
      </c>
      <c r="O61" s="269">
        <v>0</v>
      </c>
      <c r="P61" s="269">
        <v>0</v>
      </c>
      <c r="Q61" s="269">
        <v>0</v>
      </c>
      <c r="R61" s="269">
        <v>0</v>
      </c>
      <c r="S61" s="39">
        <f>SUM(O61:R61)</f>
        <v>0</v>
      </c>
      <c r="T61" s="269">
        <v>0</v>
      </c>
      <c r="U61" s="269">
        <v>0</v>
      </c>
      <c r="V61" s="269">
        <v>0</v>
      </c>
      <c r="W61" s="269">
        <v>0</v>
      </c>
      <c r="X61" s="39">
        <f t="shared" si="31"/>
        <v>0</v>
      </c>
      <c r="Y61" s="269">
        <v>0</v>
      </c>
      <c r="Z61" s="269">
        <v>0</v>
      </c>
      <c r="AA61" s="269">
        <v>0</v>
      </c>
      <c r="AB61" s="269">
        <v>0</v>
      </c>
      <c r="AC61" s="39">
        <f>SUM(Y61:AB61)</f>
        <v>0</v>
      </c>
      <c r="AD61" s="277">
        <v>0</v>
      </c>
      <c r="AE61" s="277">
        <v>0</v>
      </c>
      <c r="AF61" s="277">
        <v>0</v>
      </c>
      <c r="AG61" s="277">
        <v>0</v>
      </c>
      <c r="AH61" s="69">
        <f t="shared" si="44"/>
        <v>0</v>
      </c>
      <c r="AI61" s="269">
        <v>0</v>
      </c>
      <c r="AJ61" s="269">
        <v>0</v>
      </c>
      <c r="AK61" s="269">
        <v>0</v>
      </c>
      <c r="AL61" s="277">
        <v>300000</v>
      </c>
      <c r="AM61" s="69">
        <f>SUM(AI61:AL61)</f>
        <v>300000</v>
      </c>
      <c r="AN61" s="269">
        <v>0</v>
      </c>
      <c r="AO61" s="269">
        <v>0</v>
      </c>
      <c r="AP61" s="269">
        <v>0</v>
      </c>
      <c r="AQ61" s="269">
        <v>0</v>
      </c>
      <c r="AR61" s="39">
        <f t="shared" si="35"/>
        <v>0</v>
      </c>
      <c r="AS61" s="269">
        <v>0</v>
      </c>
      <c r="AT61" s="269">
        <v>0</v>
      </c>
      <c r="AU61" s="269">
        <v>0</v>
      </c>
      <c r="AV61" s="269">
        <v>0</v>
      </c>
      <c r="AW61" s="39">
        <f t="shared" si="36"/>
        <v>0</v>
      </c>
      <c r="AX61" s="269">
        <v>0</v>
      </c>
      <c r="AY61" s="269">
        <v>0</v>
      </c>
      <c r="AZ61" s="269">
        <v>0</v>
      </c>
      <c r="BA61" s="269">
        <v>0</v>
      </c>
      <c r="BB61" s="39">
        <f t="shared" si="37"/>
        <v>0</v>
      </c>
      <c r="BC61" s="269">
        <v>0</v>
      </c>
      <c r="BD61" s="269">
        <v>0</v>
      </c>
      <c r="BE61" s="269">
        <v>0</v>
      </c>
      <c r="BF61" s="269">
        <v>-300000</v>
      </c>
      <c r="BG61" s="39">
        <f t="shared" si="38"/>
        <v>-300000</v>
      </c>
      <c r="BH61" s="269">
        <v>0</v>
      </c>
      <c r="BI61" s="269">
        <v>0</v>
      </c>
      <c r="BJ61" s="269">
        <v>0</v>
      </c>
      <c r="BK61" s="269">
        <v>0</v>
      </c>
      <c r="BL61" s="39">
        <f t="shared" si="39"/>
        <v>0</v>
      </c>
      <c r="BM61" s="269">
        <v>0</v>
      </c>
      <c r="BN61" s="269">
        <v>0</v>
      </c>
      <c r="BO61" s="269">
        <v>0</v>
      </c>
      <c r="BP61" s="269">
        <v>0</v>
      </c>
      <c r="BQ61" s="39">
        <f t="shared" si="40"/>
        <v>0</v>
      </c>
      <c r="BR61" s="277">
        <f t="shared" si="47"/>
        <v>0</v>
      </c>
      <c r="BS61" s="277">
        <f t="shared" si="47"/>
        <v>0</v>
      </c>
      <c r="BT61" s="277">
        <f t="shared" si="47"/>
        <v>0</v>
      </c>
      <c r="BU61" s="277">
        <f t="shared" si="47"/>
        <v>0</v>
      </c>
      <c r="BV61" s="69">
        <f t="shared" si="45"/>
        <v>0</v>
      </c>
      <c r="BW61" s="9"/>
      <c r="BX61" s="208"/>
    </row>
    <row r="62" spans="1:78" x14ac:dyDescent="0.2">
      <c r="A62" s="232" t="s">
        <v>279</v>
      </c>
      <c r="B62" s="227"/>
      <c r="D62" s="221"/>
      <c r="E62" s="269">
        <v>0</v>
      </c>
      <c r="F62" s="269">
        <v>0</v>
      </c>
      <c r="G62" s="269">
        <v>0</v>
      </c>
      <c r="H62" s="269">
        <v>0</v>
      </c>
      <c r="I62" s="39">
        <f>SUM(E62:H62)</f>
        <v>0</v>
      </c>
      <c r="J62" s="268">
        <v>0</v>
      </c>
      <c r="K62" s="269">
        <v>0</v>
      </c>
      <c r="L62" s="269">
        <v>0</v>
      </c>
      <c r="M62" s="269">
        <v>0</v>
      </c>
      <c r="N62" s="39">
        <f t="shared" si="29"/>
        <v>0</v>
      </c>
      <c r="O62" s="269">
        <v>0</v>
      </c>
      <c r="P62" s="269">
        <v>0</v>
      </c>
      <c r="Q62" s="269">
        <v>0</v>
      </c>
      <c r="R62" s="269">
        <v>0</v>
      </c>
      <c r="S62" s="39">
        <v>0</v>
      </c>
      <c r="T62" s="269">
        <v>0</v>
      </c>
      <c r="U62" s="269">
        <v>0</v>
      </c>
      <c r="V62" s="269">
        <v>0</v>
      </c>
      <c r="W62" s="269">
        <v>0</v>
      </c>
      <c r="X62" s="39">
        <v>0</v>
      </c>
      <c r="Y62" s="269">
        <v>0</v>
      </c>
      <c r="Z62" s="269">
        <v>0</v>
      </c>
      <c r="AA62" s="269">
        <v>0</v>
      </c>
      <c r="AB62" s="269">
        <v>0</v>
      </c>
      <c r="AC62" s="39">
        <v>0</v>
      </c>
      <c r="AD62" s="277">
        <v>0</v>
      </c>
      <c r="AE62" s="277">
        <v>0</v>
      </c>
      <c r="AF62" s="277">
        <v>0</v>
      </c>
      <c r="AG62" s="277">
        <v>1800000</v>
      </c>
      <c r="AH62" s="69">
        <f t="shared" si="44"/>
        <v>1800000</v>
      </c>
      <c r="AI62" s="269">
        <v>0</v>
      </c>
      <c r="AJ62" s="269">
        <v>0</v>
      </c>
      <c r="AK62" s="269">
        <v>0</v>
      </c>
      <c r="AL62" s="269">
        <v>0</v>
      </c>
      <c r="AM62" s="39">
        <f>SUM(AI62:AL62)</f>
        <v>0</v>
      </c>
      <c r="AN62" s="269">
        <v>0</v>
      </c>
      <c r="AO62" s="269">
        <v>0</v>
      </c>
      <c r="AP62" s="269">
        <v>0</v>
      </c>
      <c r="AQ62" s="269">
        <v>0</v>
      </c>
      <c r="AR62" s="39">
        <f t="shared" si="35"/>
        <v>0</v>
      </c>
      <c r="AS62" s="269">
        <v>0</v>
      </c>
      <c r="AT62" s="269">
        <v>0</v>
      </c>
      <c r="AU62" s="269">
        <v>0</v>
      </c>
      <c r="AV62" s="269">
        <v>0</v>
      </c>
      <c r="AW62" s="39">
        <f t="shared" si="36"/>
        <v>0</v>
      </c>
      <c r="AX62" s="269">
        <v>0</v>
      </c>
      <c r="AY62" s="269">
        <v>0</v>
      </c>
      <c r="AZ62" s="269">
        <v>0</v>
      </c>
      <c r="BA62" s="269">
        <v>0</v>
      </c>
      <c r="BB62" s="39">
        <f t="shared" si="37"/>
        <v>0</v>
      </c>
      <c r="BC62" s="269">
        <v>0</v>
      </c>
      <c r="BD62" s="269">
        <v>0</v>
      </c>
      <c r="BE62" s="269">
        <v>0</v>
      </c>
      <c r="BF62" s="269">
        <v>-1800000</v>
      </c>
      <c r="BG62" s="39">
        <f t="shared" si="38"/>
        <v>-1800000</v>
      </c>
      <c r="BH62" s="269">
        <v>0</v>
      </c>
      <c r="BI62" s="269">
        <v>0</v>
      </c>
      <c r="BJ62" s="269">
        <v>0</v>
      </c>
      <c r="BK62" s="269">
        <v>0</v>
      </c>
      <c r="BL62" s="39">
        <f t="shared" si="39"/>
        <v>0</v>
      </c>
      <c r="BM62" s="269">
        <v>0</v>
      </c>
      <c r="BN62" s="269">
        <v>0</v>
      </c>
      <c r="BO62" s="269">
        <v>0</v>
      </c>
      <c r="BP62" s="269">
        <v>0</v>
      </c>
      <c r="BQ62" s="39">
        <f t="shared" si="40"/>
        <v>0</v>
      </c>
      <c r="BR62" s="277">
        <f t="shared" si="47"/>
        <v>0</v>
      </c>
      <c r="BS62" s="277">
        <f t="shared" si="47"/>
        <v>0</v>
      </c>
      <c r="BT62" s="277">
        <f t="shared" si="47"/>
        <v>0</v>
      </c>
      <c r="BU62" s="277">
        <f t="shared" si="47"/>
        <v>0</v>
      </c>
      <c r="BV62" s="69">
        <f t="shared" si="45"/>
        <v>0</v>
      </c>
      <c r="BW62" s="9"/>
      <c r="BX62" s="208"/>
    </row>
    <row r="63" spans="1:78" x14ac:dyDescent="0.2">
      <c r="A63" s="232" t="s">
        <v>280</v>
      </c>
      <c r="B63" s="227"/>
      <c r="D63" s="221"/>
      <c r="E63" s="269">
        <v>0</v>
      </c>
      <c r="F63" s="269">
        <v>0</v>
      </c>
      <c r="G63" s="269">
        <v>0</v>
      </c>
      <c r="H63" s="269">
        <v>0</v>
      </c>
      <c r="I63" s="39">
        <f>SUM(E63:H63)</f>
        <v>0</v>
      </c>
      <c r="J63" s="268">
        <v>0</v>
      </c>
      <c r="K63" s="269">
        <v>0</v>
      </c>
      <c r="L63" s="269">
        <v>0</v>
      </c>
      <c r="M63" s="269">
        <v>0</v>
      </c>
      <c r="N63" s="39">
        <f t="shared" si="29"/>
        <v>0</v>
      </c>
      <c r="O63" s="269">
        <v>0</v>
      </c>
      <c r="P63" s="269">
        <v>0</v>
      </c>
      <c r="Q63" s="269">
        <v>0</v>
      </c>
      <c r="R63" s="269">
        <v>0</v>
      </c>
      <c r="S63" s="39">
        <f>SUM(O63:R63)</f>
        <v>0</v>
      </c>
      <c r="T63" s="269">
        <v>0</v>
      </c>
      <c r="U63" s="269">
        <v>0</v>
      </c>
      <c r="V63" s="269">
        <v>0</v>
      </c>
      <c r="W63" s="269">
        <v>0</v>
      </c>
      <c r="X63" s="39">
        <f t="shared" si="31"/>
        <v>0</v>
      </c>
      <c r="Y63" s="269">
        <v>0</v>
      </c>
      <c r="Z63" s="269">
        <v>0</v>
      </c>
      <c r="AA63" s="269">
        <v>0</v>
      </c>
      <c r="AB63" s="269">
        <v>0</v>
      </c>
      <c r="AC63" s="39">
        <f>SUM(Y63:AB63)</f>
        <v>0</v>
      </c>
      <c r="AD63" s="277">
        <v>0</v>
      </c>
      <c r="AE63" s="277">
        <v>0</v>
      </c>
      <c r="AF63" s="277">
        <v>0</v>
      </c>
      <c r="AG63" s="277">
        <v>0</v>
      </c>
      <c r="AH63" s="69">
        <f t="shared" si="44"/>
        <v>0</v>
      </c>
      <c r="AI63" s="269">
        <v>0</v>
      </c>
      <c r="AJ63" s="269">
        <v>0</v>
      </c>
      <c r="AK63" s="269">
        <v>0</v>
      </c>
      <c r="AL63" s="269">
        <v>0</v>
      </c>
      <c r="AM63" s="39">
        <f t="shared" si="34"/>
        <v>0</v>
      </c>
      <c r="AN63" s="269">
        <v>0</v>
      </c>
      <c r="AO63" s="269">
        <v>0</v>
      </c>
      <c r="AP63" s="269">
        <v>0</v>
      </c>
      <c r="AQ63" s="269">
        <v>2100000</v>
      </c>
      <c r="AR63" s="39">
        <f t="shared" si="35"/>
        <v>2100000</v>
      </c>
      <c r="AS63" s="269">
        <v>0</v>
      </c>
      <c r="AT63" s="269">
        <v>0</v>
      </c>
      <c r="AU63" s="269">
        <v>0</v>
      </c>
      <c r="AV63" s="269">
        <v>0</v>
      </c>
      <c r="AW63" s="39">
        <f t="shared" si="36"/>
        <v>0</v>
      </c>
      <c r="AX63" s="269">
        <v>0</v>
      </c>
      <c r="AY63" s="269">
        <v>0</v>
      </c>
      <c r="AZ63" s="269">
        <v>0</v>
      </c>
      <c r="BA63" s="269">
        <v>0</v>
      </c>
      <c r="BB63" s="39">
        <f t="shared" si="37"/>
        <v>0</v>
      </c>
      <c r="BC63" s="269">
        <v>0</v>
      </c>
      <c r="BD63" s="269">
        <v>0</v>
      </c>
      <c r="BE63" s="269">
        <v>0</v>
      </c>
      <c r="BF63" s="269">
        <v>-2100000</v>
      </c>
      <c r="BG63" s="39">
        <f t="shared" si="38"/>
        <v>-2100000</v>
      </c>
      <c r="BH63" s="269">
        <v>0</v>
      </c>
      <c r="BI63" s="269">
        <v>0</v>
      </c>
      <c r="BJ63" s="269">
        <v>0</v>
      </c>
      <c r="BK63" s="269">
        <v>0</v>
      </c>
      <c r="BL63" s="39">
        <f t="shared" si="39"/>
        <v>0</v>
      </c>
      <c r="BM63" s="269">
        <v>0</v>
      </c>
      <c r="BN63" s="269">
        <v>0</v>
      </c>
      <c r="BO63" s="269">
        <v>0</v>
      </c>
      <c r="BP63" s="269">
        <v>0</v>
      </c>
      <c r="BQ63" s="39">
        <f t="shared" si="40"/>
        <v>0</v>
      </c>
      <c r="BR63" s="277">
        <f t="shared" si="47"/>
        <v>0</v>
      </c>
      <c r="BS63" s="277">
        <f t="shared" si="47"/>
        <v>0</v>
      </c>
      <c r="BT63" s="277">
        <f t="shared" si="47"/>
        <v>0</v>
      </c>
      <c r="BU63" s="277">
        <f t="shared" si="47"/>
        <v>0</v>
      </c>
      <c r="BV63" s="69">
        <f t="shared" si="45"/>
        <v>0</v>
      </c>
      <c r="BW63" s="9"/>
      <c r="BX63" s="208"/>
    </row>
    <row r="64" spans="1:78" x14ac:dyDescent="0.2">
      <c r="A64" s="202" t="s">
        <v>243</v>
      </c>
      <c r="B64" s="227"/>
      <c r="C64" s="227"/>
      <c r="D64" s="225"/>
      <c r="E64" s="269">
        <v>0</v>
      </c>
      <c r="F64" s="269">
        <v>18283844</v>
      </c>
      <c r="G64" s="269">
        <v>0</v>
      </c>
      <c r="H64" s="269">
        <v>0</v>
      </c>
      <c r="I64" s="39">
        <f t="shared" si="43"/>
        <v>18283844</v>
      </c>
      <c r="J64" s="268">
        <v>0</v>
      </c>
      <c r="K64" s="269">
        <v>1549593</v>
      </c>
      <c r="L64" s="269">
        <v>0</v>
      </c>
      <c r="M64" s="269">
        <v>0</v>
      </c>
      <c r="N64" s="39">
        <f t="shared" si="29"/>
        <v>1549593</v>
      </c>
      <c r="O64" s="269">
        <v>0</v>
      </c>
      <c r="P64" s="269">
        <v>1486615</v>
      </c>
      <c r="Q64" s="269">
        <v>0</v>
      </c>
      <c r="R64" s="269">
        <v>0</v>
      </c>
      <c r="S64" s="39">
        <f t="shared" si="30"/>
        <v>1486615</v>
      </c>
      <c r="T64" s="269">
        <v>0</v>
      </c>
      <c r="U64" s="269">
        <v>1412283</v>
      </c>
      <c r="V64" s="269">
        <v>0</v>
      </c>
      <c r="W64" s="269">
        <v>0</v>
      </c>
      <c r="X64" s="39">
        <f t="shared" si="31"/>
        <v>1412283</v>
      </c>
      <c r="Y64" s="269">
        <v>0</v>
      </c>
      <c r="Z64" s="269">
        <v>1388691</v>
      </c>
      <c r="AA64" s="269">
        <v>0</v>
      </c>
      <c r="AB64" s="269">
        <v>0</v>
      </c>
      <c r="AC64" s="39">
        <f t="shared" si="32"/>
        <v>1388691</v>
      </c>
      <c r="AD64" s="277">
        <v>0</v>
      </c>
      <c r="AE64" s="277">
        <v>1443945</v>
      </c>
      <c r="AF64" s="269">
        <v>0</v>
      </c>
      <c r="AG64" s="269">
        <v>0</v>
      </c>
      <c r="AH64" s="39">
        <f t="shared" si="44"/>
        <v>1443945</v>
      </c>
      <c r="AI64" s="269">
        <v>0</v>
      </c>
      <c r="AJ64" s="269">
        <v>1524417</v>
      </c>
      <c r="AK64" s="269">
        <v>0</v>
      </c>
      <c r="AL64" s="269">
        <v>0</v>
      </c>
      <c r="AM64" s="39">
        <f t="shared" si="34"/>
        <v>1524417</v>
      </c>
      <c r="AN64" s="269">
        <v>0</v>
      </c>
      <c r="AO64" s="269">
        <v>1497621</v>
      </c>
      <c r="AP64" s="269">
        <v>0</v>
      </c>
      <c r="AQ64" s="269">
        <v>0</v>
      </c>
      <c r="AR64" s="39">
        <f t="shared" si="35"/>
        <v>1497621</v>
      </c>
      <c r="AS64" s="269">
        <v>0</v>
      </c>
      <c r="AT64" s="269">
        <v>1535042</v>
      </c>
      <c r="AU64" s="269">
        <v>0</v>
      </c>
      <c r="AV64" s="269">
        <v>0</v>
      </c>
      <c r="AW64" s="39">
        <f t="shared" si="36"/>
        <v>1535042</v>
      </c>
      <c r="AX64" s="269">
        <v>0</v>
      </c>
      <c r="AY64" s="269">
        <v>1484863</v>
      </c>
      <c r="AZ64" s="269">
        <v>0</v>
      </c>
      <c r="BA64" s="269">
        <v>0</v>
      </c>
      <c r="BB64" s="39">
        <f t="shared" si="37"/>
        <v>1484863</v>
      </c>
      <c r="BC64" s="269">
        <v>0</v>
      </c>
      <c r="BD64" s="269">
        <v>1682694</v>
      </c>
      <c r="BE64" s="269">
        <v>0</v>
      </c>
      <c r="BF64" s="269">
        <v>0</v>
      </c>
      <c r="BG64" s="39">
        <f t="shared" si="38"/>
        <v>1682694</v>
      </c>
      <c r="BH64" s="269">
        <v>0</v>
      </c>
      <c r="BI64" s="269">
        <v>0</v>
      </c>
      <c r="BJ64" s="269">
        <v>0</v>
      </c>
      <c r="BK64" s="269">
        <v>0</v>
      </c>
      <c r="BL64" s="39">
        <f t="shared" si="39"/>
        <v>0</v>
      </c>
      <c r="BM64" s="269">
        <v>0</v>
      </c>
      <c r="BN64" s="269">
        <v>0</v>
      </c>
      <c r="BO64" s="269">
        <v>0</v>
      </c>
      <c r="BP64" s="269">
        <v>0</v>
      </c>
      <c r="BQ64" s="39">
        <f t="shared" si="40"/>
        <v>0</v>
      </c>
      <c r="BR64" s="269">
        <f t="shared" si="47"/>
        <v>0</v>
      </c>
      <c r="BS64" s="269">
        <f t="shared" si="47"/>
        <v>15005764</v>
      </c>
      <c r="BT64" s="269">
        <f t="shared" si="47"/>
        <v>0</v>
      </c>
      <c r="BU64" s="269">
        <f>+M64+R64+W64+AB64+AG64+AL64+AQ64+AV64+BA64+BF64+BK64+BP64</f>
        <v>0</v>
      </c>
      <c r="BV64" s="39">
        <f t="shared" si="42"/>
        <v>15005764</v>
      </c>
      <c r="BW64" s="9"/>
      <c r="BX64" s="208"/>
    </row>
    <row r="65" spans="1:76" x14ac:dyDescent="0.2">
      <c r="A65" s="202" t="s">
        <v>244</v>
      </c>
      <c r="B65" s="227"/>
      <c r="D65" s="225"/>
      <c r="E65" s="269">
        <v>2076720</v>
      </c>
      <c r="F65" s="269">
        <v>23446</v>
      </c>
      <c r="G65" s="269">
        <v>0</v>
      </c>
      <c r="H65" s="269">
        <v>0</v>
      </c>
      <c r="I65" s="39">
        <f t="shared" si="43"/>
        <v>2100166</v>
      </c>
      <c r="J65" s="268">
        <v>169724</v>
      </c>
      <c r="K65" s="269">
        <v>936</v>
      </c>
      <c r="L65" s="269">
        <v>0</v>
      </c>
      <c r="M65" s="269">
        <v>0</v>
      </c>
      <c r="N65" s="39">
        <f t="shared" si="29"/>
        <v>170660</v>
      </c>
      <c r="O65" s="269">
        <v>170631</v>
      </c>
      <c r="P65" s="269">
        <v>1218</v>
      </c>
      <c r="Q65" s="269">
        <v>0</v>
      </c>
      <c r="R65" s="269">
        <v>0</v>
      </c>
      <c r="S65" s="39">
        <f t="shared" si="30"/>
        <v>171849</v>
      </c>
      <c r="T65" s="269">
        <v>168573</v>
      </c>
      <c r="U65" s="269">
        <v>369</v>
      </c>
      <c r="V65" s="269">
        <v>0</v>
      </c>
      <c r="W65" s="269">
        <v>0</v>
      </c>
      <c r="X65" s="39">
        <f t="shared" si="31"/>
        <v>168942</v>
      </c>
      <c r="Y65" s="269">
        <v>168429</v>
      </c>
      <c r="Z65" s="269">
        <v>4165</v>
      </c>
      <c r="AA65" s="269">
        <v>0</v>
      </c>
      <c r="AB65" s="269">
        <v>0</v>
      </c>
      <c r="AC65" s="39">
        <f t="shared" si="32"/>
        <v>172594</v>
      </c>
      <c r="AD65" s="277">
        <v>167158</v>
      </c>
      <c r="AE65" s="277">
        <v>2578</v>
      </c>
      <c r="AF65" s="269">
        <v>0</v>
      </c>
      <c r="AG65" s="269">
        <v>0</v>
      </c>
      <c r="AH65" s="39">
        <f t="shared" si="33"/>
        <v>169736</v>
      </c>
      <c r="AI65" s="269">
        <v>167552</v>
      </c>
      <c r="AJ65" s="269">
        <v>4228</v>
      </c>
      <c r="AK65" s="269">
        <v>0</v>
      </c>
      <c r="AL65" s="269">
        <v>0</v>
      </c>
      <c r="AM65" s="39">
        <f t="shared" si="34"/>
        <v>171780</v>
      </c>
      <c r="AN65" s="269">
        <v>166146</v>
      </c>
      <c r="AO65" s="269">
        <v>2534</v>
      </c>
      <c r="AP65" s="269">
        <v>0</v>
      </c>
      <c r="AQ65" s="269">
        <v>0</v>
      </c>
      <c r="AR65" s="39">
        <f t="shared" si="35"/>
        <v>168680</v>
      </c>
      <c r="AS65" s="269">
        <v>166179</v>
      </c>
      <c r="AT65" s="269">
        <v>807</v>
      </c>
      <c r="AU65" s="269">
        <v>0</v>
      </c>
      <c r="AV65" s="269">
        <v>0</v>
      </c>
      <c r="AW65" s="39">
        <f t="shared" si="36"/>
        <v>166986</v>
      </c>
      <c r="AX65" s="269">
        <v>164386</v>
      </c>
      <c r="AY65" s="269">
        <v>2475</v>
      </c>
      <c r="AZ65" s="269">
        <v>0</v>
      </c>
      <c r="BA65" s="269">
        <v>0</v>
      </c>
      <c r="BB65" s="39">
        <f t="shared" si="37"/>
        <v>166861</v>
      </c>
      <c r="BC65" s="269">
        <v>163747</v>
      </c>
      <c r="BD65" s="269">
        <v>1602</v>
      </c>
      <c r="BE65" s="269">
        <v>0</v>
      </c>
      <c r="BF65" s="269">
        <v>0</v>
      </c>
      <c r="BG65" s="39">
        <f t="shared" si="38"/>
        <v>165349</v>
      </c>
      <c r="BH65" s="269">
        <v>0</v>
      </c>
      <c r="BI65" s="269">
        <v>0</v>
      </c>
      <c r="BJ65" s="269">
        <v>0</v>
      </c>
      <c r="BK65" s="269">
        <v>0</v>
      </c>
      <c r="BL65" s="39">
        <f t="shared" si="39"/>
        <v>0</v>
      </c>
      <c r="BM65" s="269">
        <v>0</v>
      </c>
      <c r="BN65" s="269">
        <v>0</v>
      </c>
      <c r="BO65" s="269">
        <v>0</v>
      </c>
      <c r="BP65" s="269">
        <v>0</v>
      </c>
      <c r="BQ65" s="39">
        <f>SUM(BM65:BP65)</f>
        <v>0</v>
      </c>
      <c r="BR65" s="269">
        <f t="shared" si="47"/>
        <v>1672525</v>
      </c>
      <c r="BS65" s="269">
        <f t="shared" si="47"/>
        <v>20912</v>
      </c>
      <c r="BT65" s="269">
        <f t="shared" si="47"/>
        <v>0</v>
      </c>
      <c r="BU65" s="269">
        <f>+M65+R65+W65+AB65+AG65+AL65+AQ65+AV65+BA65+BF65+BK65+BP65</f>
        <v>0</v>
      </c>
      <c r="BV65" s="39">
        <f t="shared" si="42"/>
        <v>1693437</v>
      </c>
      <c r="BW65" s="9"/>
      <c r="BX65" s="208"/>
    </row>
    <row r="66" spans="1:76" x14ac:dyDescent="0.2">
      <c r="A66" s="211" t="s">
        <v>245</v>
      </c>
      <c r="B66" s="237"/>
      <c r="D66" s="225"/>
      <c r="E66" s="269">
        <v>979987</v>
      </c>
      <c r="F66" s="269">
        <v>71738</v>
      </c>
      <c r="G66" s="269">
        <v>0</v>
      </c>
      <c r="H66" s="269">
        <v>0</v>
      </c>
      <c r="I66" s="39">
        <f t="shared" si="43"/>
        <v>1051725</v>
      </c>
      <c r="J66" s="268">
        <v>77886</v>
      </c>
      <c r="K66" s="269">
        <v>1909</v>
      </c>
      <c r="L66" s="269">
        <v>0</v>
      </c>
      <c r="M66" s="269">
        <v>0</v>
      </c>
      <c r="N66" s="39">
        <f t="shared" si="29"/>
        <v>79795</v>
      </c>
      <c r="O66" s="269">
        <v>83988</v>
      </c>
      <c r="P66" s="269">
        <v>281</v>
      </c>
      <c r="Q66" s="269">
        <v>0</v>
      </c>
      <c r="R66" s="269">
        <v>0</v>
      </c>
      <c r="S66" s="39">
        <f t="shared" si="30"/>
        <v>84269</v>
      </c>
      <c r="T66" s="269">
        <v>81016</v>
      </c>
      <c r="U66" s="269">
        <v>8494</v>
      </c>
      <c r="V66" s="269">
        <v>0</v>
      </c>
      <c r="W66" s="269">
        <v>0</v>
      </c>
      <c r="X66" s="39">
        <f t="shared" si="31"/>
        <v>89510</v>
      </c>
      <c r="Y66" s="269">
        <v>75207</v>
      </c>
      <c r="Z66" s="269">
        <v>11172</v>
      </c>
      <c r="AA66" s="269">
        <v>0</v>
      </c>
      <c r="AB66" s="269">
        <v>0</v>
      </c>
      <c r="AC66" s="39">
        <f t="shared" si="32"/>
        <v>86379</v>
      </c>
      <c r="AD66" s="277">
        <v>83773</v>
      </c>
      <c r="AE66" s="277">
        <v>6792</v>
      </c>
      <c r="AF66" s="269">
        <v>0</v>
      </c>
      <c r="AG66" s="269">
        <v>0</v>
      </c>
      <c r="AH66" s="39">
        <f t="shared" si="33"/>
        <v>90565</v>
      </c>
      <c r="AI66" s="269">
        <v>84167</v>
      </c>
      <c r="AJ66" s="269">
        <v>13658</v>
      </c>
      <c r="AK66" s="269">
        <v>0</v>
      </c>
      <c r="AL66" s="269">
        <v>0</v>
      </c>
      <c r="AM66" s="39">
        <f t="shared" si="34"/>
        <v>97825</v>
      </c>
      <c r="AN66" s="269">
        <v>79328</v>
      </c>
      <c r="AO66" s="269">
        <v>3471</v>
      </c>
      <c r="AP66" s="269">
        <v>0</v>
      </c>
      <c r="AQ66" s="269">
        <v>0</v>
      </c>
      <c r="AR66" s="39">
        <f t="shared" si="35"/>
        <v>82799</v>
      </c>
      <c r="AS66" s="269">
        <v>81677</v>
      </c>
      <c r="AT66" s="269">
        <v>5974</v>
      </c>
      <c r="AU66" s="269">
        <v>0</v>
      </c>
      <c r="AV66" s="269">
        <v>0</v>
      </c>
      <c r="AW66" s="39">
        <f t="shared" si="36"/>
        <v>87651</v>
      </c>
      <c r="AX66" s="269">
        <v>79584</v>
      </c>
      <c r="AY66" s="269">
        <v>7820</v>
      </c>
      <c r="AZ66" s="269">
        <v>0</v>
      </c>
      <c r="BA66" s="269">
        <v>0</v>
      </c>
      <c r="BB66" s="39">
        <f t="shared" si="37"/>
        <v>87404</v>
      </c>
      <c r="BC66" s="269">
        <v>79453</v>
      </c>
      <c r="BD66" s="269">
        <v>-2393</v>
      </c>
      <c r="BE66" s="269">
        <v>0</v>
      </c>
      <c r="BF66" s="269">
        <v>0</v>
      </c>
      <c r="BG66" s="39">
        <f t="shared" si="38"/>
        <v>77060</v>
      </c>
      <c r="BH66" s="269">
        <v>0</v>
      </c>
      <c r="BI66" s="269">
        <v>0</v>
      </c>
      <c r="BJ66" s="269">
        <v>0</v>
      </c>
      <c r="BK66" s="269">
        <v>0</v>
      </c>
      <c r="BL66" s="39">
        <f t="shared" si="39"/>
        <v>0</v>
      </c>
      <c r="BM66" s="269">
        <v>0</v>
      </c>
      <c r="BN66" s="269">
        <v>0</v>
      </c>
      <c r="BO66" s="269">
        <v>0</v>
      </c>
      <c r="BP66" s="269">
        <v>0</v>
      </c>
      <c r="BQ66" s="39">
        <f>SUM(BM66:BP66)</f>
        <v>0</v>
      </c>
      <c r="BR66" s="269">
        <f t="shared" si="47"/>
        <v>806079</v>
      </c>
      <c r="BS66" s="269">
        <f t="shared" si="47"/>
        <v>57178</v>
      </c>
      <c r="BT66" s="269">
        <f t="shared" si="47"/>
        <v>0</v>
      </c>
      <c r="BU66" s="269">
        <f>+M66+R66+W66+AB66+AG66+AL66+AQ66+AV66+BA66+BF66+BK66+BP66</f>
        <v>0</v>
      </c>
      <c r="BV66" s="39">
        <f>SUM(BR66:BU66)</f>
        <v>863257</v>
      </c>
      <c r="BW66" s="9"/>
      <c r="BX66" s="208"/>
    </row>
    <row r="67" spans="1:76" x14ac:dyDescent="0.2">
      <c r="A67" s="238" t="s">
        <v>246</v>
      </c>
      <c r="B67" s="239"/>
      <c r="C67" s="219"/>
      <c r="D67" s="220"/>
      <c r="E67" s="269">
        <v>0</v>
      </c>
      <c r="F67" s="269">
        <v>2614</v>
      </c>
      <c r="G67" s="269">
        <v>0</v>
      </c>
      <c r="H67" s="269">
        <v>0</v>
      </c>
      <c r="I67" s="39">
        <f t="shared" si="43"/>
        <v>2614</v>
      </c>
      <c r="J67" s="268">
        <v>0</v>
      </c>
      <c r="K67" s="269">
        <v>0</v>
      </c>
      <c r="L67" s="269">
        <v>0</v>
      </c>
      <c r="M67" s="269">
        <v>0</v>
      </c>
      <c r="N67" s="39">
        <f t="shared" si="29"/>
        <v>0</v>
      </c>
      <c r="O67" s="269">
        <v>0</v>
      </c>
      <c r="P67" s="269">
        <v>0</v>
      </c>
      <c r="Q67" s="269">
        <v>0</v>
      </c>
      <c r="R67" s="269">
        <v>0</v>
      </c>
      <c r="S67" s="39">
        <f t="shared" si="30"/>
        <v>0</v>
      </c>
      <c r="T67" s="269">
        <v>0</v>
      </c>
      <c r="U67" s="269">
        <v>0</v>
      </c>
      <c r="V67" s="269">
        <v>0</v>
      </c>
      <c r="W67" s="269">
        <v>0</v>
      </c>
      <c r="X67" s="39">
        <f t="shared" si="31"/>
        <v>0</v>
      </c>
      <c r="Y67" s="269">
        <v>0</v>
      </c>
      <c r="Z67" s="269">
        <v>0</v>
      </c>
      <c r="AA67" s="269">
        <v>0</v>
      </c>
      <c r="AB67" s="269">
        <v>0</v>
      </c>
      <c r="AC67" s="39">
        <f t="shared" si="32"/>
        <v>0</v>
      </c>
      <c r="AD67" s="269">
        <v>0</v>
      </c>
      <c r="AE67" s="269">
        <v>0</v>
      </c>
      <c r="AF67" s="269">
        <v>0</v>
      </c>
      <c r="AG67" s="269">
        <v>0</v>
      </c>
      <c r="AH67" s="39">
        <f t="shared" si="33"/>
        <v>0</v>
      </c>
      <c r="AI67" s="269">
        <v>0</v>
      </c>
      <c r="AJ67" s="269">
        <v>0</v>
      </c>
      <c r="AK67" s="269">
        <v>0</v>
      </c>
      <c r="AL67" s="269">
        <v>0</v>
      </c>
      <c r="AM67" s="39">
        <f t="shared" si="34"/>
        <v>0</v>
      </c>
      <c r="AN67" s="269">
        <v>0</v>
      </c>
      <c r="AO67" s="269">
        <v>0</v>
      </c>
      <c r="AP67" s="269">
        <v>0</v>
      </c>
      <c r="AQ67" s="269">
        <v>0</v>
      </c>
      <c r="AR67" s="39">
        <f t="shared" si="35"/>
        <v>0</v>
      </c>
      <c r="AS67" s="269">
        <v>0</v>
      </c>
      <c r="AT67" s="269">
        <v>0</v>
      </c>
      <c r="AU67" s="269">
        <v>0</v>
      </c>
      <c r="AV67" s="269">
        <v>0</v>
      </c>
      <c r="AW67" s="39">
        <f t="shared" si="36"/>
        <v>0</v>
      </c>
      <c r="AX67" s="269">
        <v>0</v>
      </c>
      <c r="AY67" s="269">
        <v>0</v>
      </c>
      <c r="AZ67" s="269">
        <v>0</v>
      </c>
      <c r="BA67" s="269">
        <v>0</v>
      </c>
      <c r="BB67" s="39">
        <f t="shared" si="37"/>
        <v>0</v>
      </c>
      <c r="BC67" s="269">
        <v>0</v>
      </c>
      <c r="BD67" s="269">
        <v>0</v>
      </c>
      <c r="BE67" s="269">
        <v>0</v>
      </c>
      <c r="BF67" s="269">
        <v>0</v>
      </c>
      <c r="BG67" s="39">
        <f t="shared" si="38"/>
        <v>0</v>
      </c>
      <c r="BH67" s="269">
        <v>0</v>
      </c>
      <c r="BI67" s="269">
        <v>0</v>
      </c>
      <c r="BJ67" s="269">
        <v>0</v>
      </c>
      <c r="BK67" s="269">
        <v>0</v>
      </c>
      <c r="BL67" s="39">
        <f t="shared" si="39"/>
        <v>0</v>
      </c>
      <c r="BM67" s="269">
        <v>0</v>
      </c>
      <c r="BN67" s="269">
        <v>0</v>
      </c>
      <c r="BO67" s="269">
        <v>0</v>
      </c>
      <c r="BP67" s="269">
        <v>0</v>
      </c>
      <c r="BQ67" s="39">
        <f t="shared" si="40"/>
        <v>0</v>
      </c>
      <c r="BR67" s="269">
        <f t="shared" si="47"/>
        <v>0</v>
      </c>
      <c r="BS67" s="269">
        <f t="shared" si="47"/>
        <v>0</v>
      </c>
      <c r="BT67" s="269">
        <f t="shared" si="47"/>
        <v>0</v>
      </c>
      <c r="BU67" s="269">
        <f>+M67+R67+W67+AB67+AG67+AL67+AQ67+AV67+BA67+BF67+BK67+BP67</f>
        <v>0</v>
      </c>
      <c r="BV67" s="39">
        <f t="shared" si="42"/>
        <v>0</v>
      </c>
      <c r="BW67" s="9"/>
      <c r="BX67" s="208"/>
    </row>
    <row r="68" spans="1:76" x14ac:dyDescent="0.2">
      <c r="A68" s="199" t="s">
        <v>247</v>
      </c>
      <c r="B68" s="203"/>
      <c r="D68" s="225"/>
      <c r="E68" s="36">
        <f t="shared" ref="E68:AD68" si="48">SUM(E50:E67)-E52</f>
        <v>208432282.69999999</v>
      </c>
      <c r="F68" s="35">
        <f t="shared" si="48"/>
        <v>537102188</v>
      </c>
      <c r="G68" s="35">
        <f t="shared" si="48"/>
        <v>0</v>
      </c>
      <c r="H68" s="35">
        <f t="shared" si="48"/>
        <v>468468</v>
      </c>
      <c r="I68" s="17">
        <f>SUM(I50:I67)-I52</f>
        <v>746002938.70000005</v>
      </c>
      <c r="J68" s="36">
        <f t="shared" si="48"/>
        <v>3879932</v>
      </c>
      <c r="K68" s="35">
        <f t="shared" si="48"/>
        <v>43681922</v>
      </c>
      <c r="L68" s="35">
        <f t="shared" si="48"/>
        <v>0</v>
      </c>
      <c r="M68" s="35">
        <f t="shared" si="48"/>
        <v>13631872</v>
      </c>
      <c r="N68" s="17">
        <f t="shared" si="48"/>
        <v>61193726</v>
      </c>
      <c r="O68" s="35">
        <f t="shared" si="48"/>
        <v>4573313</v>
      </c>
      <c r="P68" s="35">
        <f t="shared" si="48"/>
        <v>43617596</v>
      </c>
      <c r="Q68" s="35">
        <f t="shared" si="48"/>
        <v>0</v>
      </c>
      <c r="R68" s="35">
        <f t="shared" si="48"/>
        <v>83878</v>
      </c>
      <c r="S68" s="17">
        <f t="shared" si="48"/>
        <v>48274787</v>
      </c>
      <c r="T68" s="36">
        <f t="shared" si="48"/>
        <v>20526581</v>
      </c>
      <c r="U68" s="35">
        <f t="shared" si="48"/>
        <v>43550628</v>
      </c>
      <c r="V68" s="35">
        <f t="shared" si="48"/>
        <v>0</v>
      </c>
      <c r="W68" s="35">
        <f t="shared" si="48"/>
        <v>23306</v>
      </c>
      <c r="X68" s="17">
        <f t="shared" si="48"/>
        <v>64100515</v>
      </c>
      <c r="Y68" s="36">
        <f t="shared" si="48"/>
        <v>27648509</v>
      </c>
      <c r="Z68" s="35">
        <f t="shared" si="48"/>
        <v>43533510</v>
      </c>
      <c r="AA68" s="35">
        <f t="shared" si="48"/>
        <v>0</v>
      </c>
      <c r="AB68" s="35">
        <f t="shared" si="48"/>
        <v>119906</v>
      </c>
      <c r="AC68" s="17">
        <f t="shared" si="48"/>
        <v>71301925</v>
      </c>
      <c r="AD68" s="36">
        <f t="shared" si="48"/>
        <v>27979426</v>
      </c>
      <c r="AE68" s="35">
        <f t="shared" ref="AE68:AM68" si="49">SUM(AE50:AE67)-AE52-AE59</f>
        <v>47971723</v>
      </c>
      <c r="AF68" s="35">
        <f t="shared" si="49"/>
        <v>0</v>
      </c>
      <c r="AG68" s="35">
        <f t="shared" si="49"/>
        <v>3800230</v>
      </c>
      <c r="AH68" s="17">
        <f t="shared" si="49"/>
        <v>79751379</v>
      </c>
      <c r="AI68" s="36">
        <f t="shared" si="49"/>
        <v>16793673</v>
      </c>
      <c r="AJ68" s="35">
        <f t="shared" si="49"/>
        <v>43671783</v>
      </c>
      <c r="AK68" s="35">
        <f t="shared" si="49"/>
        <v>0</v>
      </c>
      <c r="AL68" s="35">
        <f t="shared" si="49"/>
        <v>-9699979</v>
      </c>
      <c r="AM68" s="17">
        <f t="shared" si="49"/>
        <v>50765477</v>
      </c>
      <c r="AN68" s="36">
        <f>SUM(AN50:AN67)-AN52-AN59</f>
        <v>4808296</v>
      </c>
      <c r="AO68" s="35">
        <f>SUM(AO50:AO67)-AO52-AO59</f>
        <v>43633105</v>
      </c>
      <c r="AP68" s="35">
        <f>SUM(AP50:AP67)-AP52-AP55</f>
        <v>0</v>
      </c>
      <c r="AQ68" s="35">
        <f>SUM(AQ50:AQ67)-AQ52-AQ59</f>
        <v>2100030</v>
      </c>
      <c r="AR68" s="17">
        <f>SUM(AR50:AR67)-AR52-AR59</f>
        <v>50541431</v>
      </c>
      <c r="AS68" s="36">
        <f t="shared" ref="AS68:BQ68" si="50">SUM(AS50:AS67)-AS52</f>
        <v>2607166</v>
      </c>
      <c r="AT68" s="35">
        <f t="shared" si="50"/>
        <v>43671302</v>
      </c>
      <c r="AU68" s="35">
        <f t="shared" si="50"/>
        <v>0</v>
      </c>
      <c r="AV68" s="35">
        <f t="shared" si="50"/>
        <v>1363</v>
      </c>
      <c r="AW68" s="17">
        <f>SUM(AW50:AW67)-AW52</f>
        <v>46279831</v>
      </c>
      <c r="AX68" s="36">
        <f t="shared" si="50"/>
        <v>21433413</v>
      </c>
      <c r="AY68" s="35">
        <f t="shared" si="50"/>
        <v>48013567</v>
      </c>
      <c r="AZ68" s="35">
        <f t="shared" si="50"/>
        <v>0</v>
      </c>
      <c r="BA68" s="35">
        <f t="shared" si="50"/>
        <v>107525</v>
      </c>
      <c r="BB68" s="17">
        <f t="shared" si="50"/>
        <v>69554505</v>
      </c>
      <c r="BC68" s="36">
        <f t="shared" si="50"/>
        <v>29056094</v>
      </c>
      <c r="BD68" s="35">
        <f t="shared" si="50"/>
        <v>43811380</v>
      </c>
      <c r="BE68" s="35">
        <f t="shared" si="50"/>
        <v>0</v>
      </c>
      <c r="BF68" s="35">
        <f>SUM(BF50:BF67)-BF52-BF59</f>
        <v>-9699702</v>
      </c>
      <c r="BG68" s="17">
        <f>SUM(BG50:BG67)-BG52-BG59</f>
        <v>63167772</v>
      </c>
      <c r="BH68" s="36">
        <f t="shared" si="50"/>
        <v>0</v>
      </c>
      <c r="BI68" s="35">
        <f t="shared" si="50"/>
        <v>0</v>
      </c>
      <c r="BJ68" s="35">
        <f t="shared" si="50"/>
        <v>0</v>
      </c>
      <c r="BK68" s="35">
        <f t="shared" si="50"/>
        <v>0</v>
      </c>
      <c r="BL68" s="17">
        <f t="shared" si="50"/>
        <v>0</v>
      </c>
      <c r="BM68" s="36">
        <f t="shared" si="50"/>
        <v>0</v>
      </c>
      <c r="BN68" s="35">
        <f t="shared" si="50"/>
        <v>0</v>
      </c>
      <c r="BO68" s="35">
        <f t="shared" si="50"/>
        <v>0</v>
      </c>
      <c r="BP68" s="35">
        <f t="shared" si="50"/>
        <v>0</v>
      </c>
      <c r="BQ68" s="17">
        <f t="shared" si="50"/>
        <v>0</v>
      </c>
      <c r="BR68" s="36">
        <f>SUM(BR50:BR67)-BR52-BR59</f>
        <v>159306403</v>
      </c>
      <c r="BS68" s="35">
        <f>SUM(BS50:BS67)-BS52-BS59</f>
        <v>445156516</v>
      </c>
      <c r="BT68" s="35">
        <f>SUM(BT50:BT67)-BT52-BT59</f>
        <v>0</v>
      </c>
      <c r="BU68" s="35">
        <f>SUM(BU50:BU67)-BU52-BU59</f>
        <v>468429</v>
      </c>
      <c r="BV68" s="14">
        <f>SUM(BV50:BV67)-BV52-BV59</f>
        <v>604931348</v>
      </c>
      <c r="BW68" s="10"/>
      <c r="BX68" s="208"/>
    </row>
    <row r="69" spans="1:76" hidden="1" x14ac:dyDescent="0.2">
      <c r="A69" s="223" t="s">
        <v>281</v>
      </c>
      <c r="B69" s="203"/>
      <c r="D69" s="225"/>
      <c r="E69" s="43">
        <v>0</v>
      </c>
      <c r="F69" s="43">
        <v>0</v>
      </c>
      <c r="G69" s="43">
        <v>0</v>
      </c>
      <c r="H69" s="43">
        <v>0</v>
      </c>
      <c r="I69" s="39"/>
      <c r="J69" s="41">
        <v>0</v>
      </c>
      <c r="K69" s="43">
        <v>0</v>
      </c>
      <c r="L69" s="43">
        <v>0</v>
      </c>
      <c r="M69" s="43">
        <v>0</v>
      </c>
      <c r="N69" s="39">
        <v>0</v>
      </c>
      <c r="O69" s="43">
        <v>0</v>
      </c>
      <c r="P69" s="43">
        <v>0</v>
      </c>
      <c r="Q69" s="43">
        <v>0</v>
      </c>
      <c r="R69" s="43">
        <v>0</v>
      </c>
      <c r="S69" s="39">
        <v>0</v>
      </c>
      <c r="T69" s="43">
        <v>0</v>
      </c>
      <c r="U69" s="43">
        <v>0</v>
      </c>
      <c r="V69" s="43">
        <v>0</v>
      </c>
      <c r="W69" s="43">
        <v>0</v>
      </c>
      <c r="X69" s="39">
        <v>0</v>
      </c>
      <c r="Y69" s="43">
        <v>0</v>
      </c>
      <c r="Z69" s="43">
        <v>0</v>
      </c>
      <c r="AA69" s="43">
        <v>0</v>
      </c>
      <c r="AB69" s="43">
        <v>0</v>
      </c>
      <c r="AC69" s="39">
        <v>0</v>
      </c>
      <c r="AD69" s="43">
        <v>0</v>
      </c>
      <c r="AE69" s="43">
        <v>0</v>
      </c>
      <c r="AF69" s="43">
        <v>0</v>
      </c>
      <c r="AG69" s="43">
        <v>0</v>
      </c>
      <c r="AH69" s="39">
        <v>0</v>
      </c>
      <c r="AI69" s="43">
        <v>0</v>
      </c>
      <c r="AJ69" s="43">
        <v>0</v>
      </c>
      <c r="AK69" s="43">
        <v>0</v>
      </c>
      <c r="AL69" s="43">
        <v>0</v>
      </c>
      <c r="AM69" s="39">
        <v>0</v>
      </c>
      <c r="AN69" s="43">
        <v>0</v>
      </c>
      <c r="AO69" s="43">
        <v>0</v>
      </c>
      <c r="AP69" s="43">
        <v>0</v>
      </c>
      <c r="AQ69" s="43">
        <v>0</v>
      </c>
      <c r="AR69" s="39">
        <v>0</v>
      </c>
      <c r="AS69" s="43">
        <v>0</v>
      </c>
      <c r="AT69" s="43">
        <v>0</v>
      </c>
      <c r="AU69" s="43">
        <v>0</v>
      </c>
      <c r="AV69" s="43">
        <v>0</v>
      </c>
      <c r="AW69" s="39">
        <v>0</v>
      </c>
      <c r="AX69" s="43">
        <v>0</v>
      </c>
      <c r="AY69" s="43">
        <v>0</v>
      </c>
      <c r="AZ69" s="43">
        <v>0</v>
      </c>
      <c r="BA69" s="43">
        <v>0</v>
      </c>
      <c r="BB69" s="39">
        <v>0</v>
      </c>
      <c r="BC69" s="43">
        <v>0</v>
      </c>
      <c r="BD69" s="43">
        <v>0</v>
      </c>
      <c r="BE69" s="43">
        <v>0</v>
      </c>
      <c r="BF69" s="43">
        <v>0</v>
      </c>
      <c r="BG69" s="39">
        <v>0</v>
      </c>
      <c r="BH69" s="43">
        <v>0</v>
      </c>
      <c r="BI69" s="43">
        <v>0</v>
      </c>
      <c r="BJ69" s="43">
        <v>0</v>
      </c>
      <c r="BK69" s="43">
        <v>0</v>
      </c>
      <c r="BL69" s="39">
        <v>0</v>
      </c>
      <c r="BM69" s="43">
        <v>0</v>
      </c>
      <c r="BN69" s="43">
        <v>0</v>
      </c>
      <c r="BO69" s="43">
        <v>0</v>
      </c>
      <c r="BP69" s="43">
        <v>0</v>
      </c>
      <c r="BQ69" s="39">
        <v>0</v>
      </c>
      <c r="BR69" s="43">
        <v>0</v>
      </c>
      <c r="BS69" s="43">
        <v>0</v>
      </c>
      <c r="BT69" s="43">
        <v>0</v>
      </c>
      <c r="BU69" s="43">
        <v>0</v>
      </c>
      <c r="BV69" s="40">
        <v>0</v>
      </c>
      <c r="BW69" s="1"/>
      <c r="BX69" s="208"/>
    </row>
    <row r="70" spans="1:76" hidden="1" x14ac:dyDescent="0.2">
      <c r="A70" s="223" t="s">
        <v>282</v>
      </c>
      <c r="B70" s="203"/>
      <c r="D70" s="225"/>
      <c r="E70" s="43">
        <v>0</v>
      </c>
      <c r="F70" s="43">
        <v>0</v>
      </c>
      <c r="G70" s="43">
        <v>0</v>
      </c>
      <c r="H70" s="43">
        <v>0</v>
      </c>
      <c r="I70" s="39"/>
      <c r="J70" s="41">
        <v>0</v>
      </c>
      <c r="K70" s="43">
        <v>0</v>
      </c>
      <c r="L70" s="43">
        <v>0</v>
      </c>
      <c r="M70" s="43">
        <v>0</v>
      </c>
      <c r="N70" s="39">
        <v>0</v>
      </c>
      <c r="O70" s="43">
        <v>0</v>
      </c>
      <c r="P70" s="43">
        <v>0</v>
      </c>
      <c r="Q70" s="43">
        <v>0</v>
      </c>
      <c r="R70" s="43">
        <v>0</v>
      </c>
      <c r="S70" s="39">
        <v>0</v>
      </c>
      <c r="T70" s="43">
        <v>0</v>
      </c>
      <c r="U70" s="43">
        <v>0</v>
      </c>
      <c r="V70" s="43">
        <v>0</v>
      </c>
      <c r="W70" s="43">
        <v>0</v>
      </c>
      <c r="X70" s="39">
        <v>0</v>
      </c>
      <c r="Y70" s="43">
        <v>0</v>
      </c>
      <c r="Z70" s="43">
        <v>0</v>
      </c>
      <c r="AA70" s="43">
        <v>0</v>
      </c>
      <c r="AB70" s="43">
        <v>0</v>
      </c>
      <c r="AC70" s="39">
        <v>0</v>
      </c>
      <c r="AD70" s="43">
        <v>0</v>
      </c>
      <c r="AE70" s="43">
        <v>0</v>
      </c>
      <c r="AF70" s="43">
        <v>0</v>
      </c>
      <c r="AG70" s="43">
        <v>0</v>
      </c>
      <c r="AH70" s="39">
        <v>0</v>
      </c>
      <c r="AI70" s="43">
        <v>0</v>
      </c>
      <c r="AJ70" s="43">
        <v>0</v>
      </c>
      <c r="AK70" s="43">
        <v>0</v>
      </c>
      <c r="AL70" s="43">
        <v>0</v>
      </c>
      <c r="AM70" s="39">
        <v>0</v>
      </c>
      <c r="AN70" s="43">
        <v>0</v>
      </c>
      <c r="AO70" s="43">
        <v>0</v>
      </c>
      <c r="AP70" s="43">
        <v>0</v>
      </c>
      <c r="AQ70" s="43">
        <v>0</v>
      </c>
      <c r="AR70" s="39">
        <v>0</v>
      </c>
      <c r="AS70" s="43">
        <v>0</v>
      </c>
      <c r="AT70" s="43">
        <v>0</v>
      </c>
      <c r="AU70" s="43">
        <v>0</v>
      </c>
      <c r="AV70" s="43">
        <v>0</v>
      </c>
      <c r="AW70" s="39">
        <v>0</v>
      </c>
      <c r="AX70" s="43"/>
      <c r="AY70" s="43"/>
      <c r="AZ70" s="43"/>
      <c r="BA70" s="43"/>
      <c r="BB70" s="39"/>
      <c r="BC70" s="43"/>
      <c r="BD70" s="43"/>
      <c r="BE70" s="43"/>
      <c r="BF70" s="43"/>
      <c r="BG70" s="39"/>
      <c r="BH70" s="43"/>
      <c r="BI70" s="43"/>
      <c r="BJ70" s="43"/>
      <c r="BK70" s="43"/>
      <c r="BL70" s="39"/>
      <c r="BM70" s="43"/>
      <c r="BN70" s="43"/>
      <c r="BO70" s="43"/>
      <c r="BP70" s="43"/>
      <c r="BQ70" s="39"/>
      <c r="BR70" s="43">
        <v>0</v>
      </c>
      <c r="BS70" s="43">
        <v>0</v>
      </c>
      <c r="BT70" s="43">
        <v>0</v>
      </c>
      <c r="BU70" s="43">
        <v>0</v>
      </c>
      <c r="BV70" s="40">
        <v>0</v>
      </c>
      <c r="BW70" s="1"/>
      <c r="BX70" s="208"/>
    </row>
    <row r="71" spans="1:76" hidden="1" x14ac:dyDescent="0.2">
      <c r="A71" s="223" t="s">
        <v>283</v>
      </c>
      <c r="B71" s="203"/>
      <c r="D71" s="225"/>
      <c r="E71" s="43">
        <v>0</v>
      </c>
      <c r="F71" s="43">
        <v>0</v>
      </c>
      <c r="G71" s="43">
        <v>0</v>
      </c>
      <c r="H71" s="43">
        <v>0</v>
      </c>
      <c r="I71" s="39"/>
      <c r="J71" s="41">
        <v>0</v>
      </c>
      <c r="K71" s="43">
        <v>0</v>
      </c>
      <c r="L71" s="43">
        <v>0</v>
      </c>
      <c r="M71" s="43">
        <v>0</v>
      </c>
      <c r="N71" s="39">
        <f>SUM(J71:M71)</f>
        <v>0</v>
      </c>
      <c r="O71" s="43">
        <v>0</v>
      </c>
      <c r="P71" s="43">
        <v>0</v>
      </c>
      <c r="Q71" s="43">
        <v>0</v>
      </c>
      <c r="R71" s="43">
        <v>0</v>
      </c>
      <c r="S71" s="39">
        <v>0</v>
      </c>
      <c r="T71" s="43">
        <v>0</v>
      </c>
      <c r="U71" s="43">
        <v>0</v>
      </c>
      <c r="V71" s="43">
        <v>0</v>
      </c>
      <c r="W71" s="43">
        <v>0</v>
      </c>
      <c r="X71" s="39">
        <v>0</v>
      </c>
      <c r="Y71" s="43">
        <v>0</v>
      </c>
      <c r="Z71" s="43">
        <v>0</v>
      </c>
      <c r="AA71" s="43">
        <v>0</v>
      </c>
      <c r="AB71" s="43">
        <v>0</v>
      </c>
      <c r="AC71" s="39">
        <v>0</v>
      </c>
      <c r="AD71" s="43">
        <v>0</v>
      </c>
      <c r="AE71" s="43">
        <v>0</v>
      </c>
      <c r="AF71" s="43">
        <v>0</v>
      </c>
      <c r="AG71" s="43">
        <v>0</v>
      </c>
      <c r="AH71" s="39">
        <v>0</v>
      </c>
      <c r="AI71" s="43">
        <v>0</v>
      </c>
      <c r="AJ71" s="43">
        <v>0</v>
      </c>
      <c r="AK71" s="43">
        <v>0</v>
      </c>
      <c r="AL71" s="43">
        <v>0</v>
      </c>
      <c r="AM71" s="39">
        <v>0</v>
      </c>
      <c r="AN71" s="43">
        <v>0</v>
      </c>
      <c r="AO71" s="43">
        <v>0</v>
      </c>
      <c r="AP71" s="43">
        <v>0</v>
      </c>
      <c r="AQ71" s="43">
        <v>0</v>
      </c>
      <c r="AR71" s="39">
        <v>0</v>
      </c>
      <c r="AS71" s="43">
        <v>0</v>
      </c>
      <c r="AT71" s="43">
        <v>0</v>
      </c>
      <c r="AU71" s="43">
        <v>0</v>
      </c>
      <c r="AV71" s="43">
        <v>0</v>
      </c>
      <c r="AW71" s="39">
        <v>0</v>
      </c>
      <c r="AX71" s="43"/>
      <c r="AY71" s="43"/>
      <c r="AZ71" s="43"/>
      <c r="BA71" s="43"/>
      <c r="BB71" s="39"/>
      <c r="BC71" s="43"/>
      <c r="BD71" s="43"/>
      <c r="BE71" s="43"/>
      <c r="BF71" s="43"/>
      <c r="BG71" s="39"/>
      <c r="BH71" s="43"/>
      <c r="BI71" s="43"/>
      <c r="BJ71" s="43"/>
      <c r="BK71" s="43"/>
      <c r="BL71" s="39"/>
      <c r="BM71" s="43"/>
      <c r="BN71" s="43"/>
      <c r="BO71" s="43"/>
      <c r="BP71" s="43"/>
      <c r="BQ71" s="39"/>
      <c r="BR71" s="43">
        <f>+J71+O71+T71+Y71+AD71+AI71+AN71+AS71+AX71+BC71+BH71+BM71</f>
        <v>0</v>
      </c>
      <c r="BS71" s="43">
        <f>+K71+P71+U71+Z71+AE71+AJ71+AO71+AT71+AY71+BD71+BI71+BN71</f>
        <v>0</v>
      </c>
      <c r="BT71" s="43">
        <f>+L71+Q71+V71+AA71+AF71+AK71+AP71+AU71+AZ71+BE71+BJ71+BO71</f>
        <v>0</v>
      </c>
      <c r="BU71" s="43">
        <f>+M71+R71+W71+AB71+AG71+AL71+AQ71+AV71+BA71+BF71+BK71+BP71</f>
        <v>0</v>
      </c>
      <c r="BV71" s="40">
        <f>SUM(BR71:BU71)</f>
        <v>0</v>
      </c>
      <c r="BW71" s="1"/>
      <c r="BX71" s="208"/>
    </row>
    <row r="72" spans="1:76" hidden="1" x14ac:dyDescent="0.2">
      <c r="A72" s="223" t="s">
        <v>284</v>
      </c>
      <c r="B72" s="203"/>
      <c r="D72" s="225"/>
      <c r="E72" s="43">
        <v>0</v>
      </c>
      <c r="F72" s="43">
        <v>0</v>
      </c>
      <c r="G72" s="43">
        <v>0</v>
      </c>
      <c r="H72" s="43">
        <v>0</v>
      </c>
      <c r="I72" s="39"/>
      <c r="J72" s="41">
        <v>0</v>
      </c>
      <c r="K72" s="43">
        <v>0</v>
      </c>
      <c r="L72" s="43">
        <v>0</v>
      </c>
      <c r="M72" s="43">
        <v>0</v>
      </c>
      <c r="N72" s="39">
        <v>0</v>
      </c>
      <c r="O72" s="43">
        <v>0</v>
      </c>
      <c r="P72" s="43">
        <v>0</v>
      </c>
      <c r="Q72" s="43">
        <v>0</v>
      </c>
      <c r="R72" s="43">
        <v>0</v>
      </c>
      <c r="S72" s="39">
        <v>0</v>
      </c>
      <c r="T72" s="43">
        <v>0</v>
      </c>
      <c r="U72" s="43">
        <v>0</v>
      </c>
      <c r="V72" s="43">
        <v>0</v>
      </c>
      <c r="W72" s="43">
        <v>0</v>
      </c>
      <c r="X72" s="39">
        <v>0</v>
      </c>
      <c r="Y72" s="43">
        <v>0</v>
      </c>
      <c r="Z72" s="43">
        <v>0</v>
      </c>
      <c r="AA72" s="43">
        <v>0</v>
      </c>
      <c r="AB72" s="43">
        <v>0</v>
      </c>
      <c r="AC72" s="39">
        <v>0</v>
      </c>
      <c r="AD72" s="43">
        <v>0</v>
      </c>
      <c r="AE72" s="43">
        <v>0</v>
      </c>
      <c r="AF72" s="43">
        <v>0</v>
      </c>
      <c r="AG72" s="43">
        <v>0</v>
      </c>
      <c r="AH72" s="39">
        <v>0</v>
      </c>
      <c r="AI72" s="43">
        <v>0</v>
      </c>
      <c r="AJ72" s="43">
        <v>0</v>
      </c>
      <c r="AK72" s="43">
        <v>0</v>
      </c>
      <c r="AL72" s="43">
        <v>0</v>
      </c>
      <c r="AM72" s="39">
        <v>0</v>
      </c>
      <c r="AN72" s="43">
        <v>0</v>
      </c>
      <c r="AO72" s="43">
        <v>0</v>
      </c>
      <c r="AP72" s="43">
        <v>0</v>
      </c>
      <c r="AQ72" s="43">
        <v>0</v>
      </c>
      <c r="AR72" s="39">
        <v>0</v>
      </c>
      <c r="AS72" s="43">
        <v>0</v>
      </c>
      <c r="AT72" s="43">
        <v>0</v>
      </c>
      <c r="AU72" s="43">
        <v>0</v>
      </c>
      <c r="AV72" s="43">
        <v>0</v>
      </c>
      <c r="AW72" s="39">
        <v>0</v>
      </c>
      <c r="AX72" s="43"/>
      <c r="AY72" s="43"/>
      <c r="AZ72" s="43"/>
      <c r="BA72" s="43"/>
      <c r="BB72" s="39"/>
      <c r="BC72" s="43"/>
      <c r="BD72" s="43"/>
      <c r="BE72" s="43"/>
      <c r="BF72" s="43"/>
      <c r="BG72" s="39"/>
      <c r="BH72" s="43"/>
      <c r="BI72" s="43"/>
      <c r="BJ72" s="43"/>
      <c r="BK72" s="43"/>
      <c r="BL72" s="39"/>
      <c r="BM72" s="43"/>
      <c r="BN72" s="43"/>
      <c r="BO72" s="43"/>
      <c r="BP72" s="43"/>
      <c r="BQ72" s="39"/>
      <c r="BR72" s="43">
        <v>0</v>
      </c>
      <c r="BS72" s="43">
        <v>0</v>
      </c>
      <c r="BT72" s="43">
        <v>0</v>
      </c>
      <c r="BU72" s="43">
        <v>0</v>
      </c>
      <c r="BV72" s="40">
        <v>0</v>
      </c>
      <c r="BW72" s="1"/>
      <c r="BX72" s="208"/>
    </row>
    <row r="73" spans="1:76" ht="13.5" customHeight="1" x14ac:dyDescent="0.2">
      <c r="A73" s="255" t="s">
        <v>179</v>
      </c>
      <c r="B73" s="257"/>
      <c r="C73" s="257"/>
      <c r="D73" s="280"/>
      <c r="E73" s="281">
        <f t="shared" ref="E73:BP73" si="51">+E47+E68+E69+E70+E71+E72</f>
        <v>452231135.69999999</v>
      </c>
      <c r="F73" s="282">
        <f t="shared" si="51"/>
        <v>1161710554</v>
      </c>
      <c r="G73" s="282">
        <f t="shared" si="51"/>
        <v>12204523</v>
      </c>
      <c r="H73" s="282">
        <f t="shared" si="51"/>
        <v>64986974</v>
      </c>
      <c r="I73" s="283">
        <f>+I47+I68</f>
        <v>1691133186.7</v>
      </c>
      <c r="J73" s="281">
        <f t="shared" si="51"/>
        <v>21299829</v>
      </c>
      <c r="K73" s="282">
        <f t="shared" si="51"/>
        <v>102058569</v>
      </c>
      <c r="L73" s="282">
        <f t="shared" si="51"/>
        <v>362073</v>
      </c>
      <c r="M73" s="282">
        <f t="shared" si="51"/>
        <v>13633997</v>
      </c>
      <c r="N73" s="283">
        <f t="shared" si="51"/>
        <v>137354468</v>
      </c>
      <c r="O73" s="282">
        <f t="shared" si="51"/>
        <v>23389993</v>
      </c>
      <c r="P73" s="282">
        <f t="shared" si="51"/>
        <v>90353168</v>
      </c>
      <c r="Q73" s="282">
        <f t="shared" si="51"/>
        <v>582691</v>
      </c>
      <c r="R73" s="282">
        <f t="shared" si="51"/>
        <v>135434</v>
      </c>
      <c r="S73" s="283">
        <f t="shared" si="51"/>
        <v>114461286</v>
      </c>
      <c r="T73" s="281">
        <f t="shared" si="51"/>
        <v>39453704</v>
      </c>
      <c r="U73" s="282">
        <f t="shared" si="51"/>
        <v>83604736</v>
      </c>
      <c r="V73" s="282">
        <f t="shared" si="51"/>
        <v>553754</v>
      </c>
      <c r="W73" s="282">
        <f t="shared" si="51"/>
        <v>23276</v>
      </c>
      <c r="X73" s="283">
        <f t="shared" si="51"/>
        <v>123635470</v>
      </c>
      <c r="Y73" s="281">
        <f t="shared" si="51"/>
        <v>47785459</v>
      </c>
      <c r="Z73" s="282">
        <f t="shared" si="51"/>
        <v>124231215</v>
      </c>
      <c r="AA73" s="282">
        <f t="shared" si="51"/>
        <v>714762</v>
      </c>
      <c r="AB73" s="282">
        <f t="shared" si="51"/>
        <v>122353</v>
      </c>
      <c r="AC73" s="283">
        <f t="shared" si="51"/>
        <v>172853789</v>
      </c>
      <c r="AD73" s="281">
        <f t="shared" si="51"/>
        <v>47186195</v>
      </c>
      <c r="AE73" s="282">
        <f t="shared" si="51"/>
        <v>98938819</v>
      </c>
      <c r="AF73" s="282">
        <f t="shared" si="51"/>
        <v>844913</v>
      </c>
      <c r="AG73" s="282">
        <f t="shared" si="51"/>
        <v>3802346</v>
      </c>
      <c r="AH73" s="283">
        <f t="shared" si="51"/>
        <v>150772273</v>
      </c>
      <c r="AI73" s="281">
        <f t="shared" si="51"/>
        <v>36134750</v>
      </c>
      <c r="AJ73" s="282">
        <f t="shared" si="51"/>
        <v>77572968</v>
      </c>
      <c r="AK73" s="282">
        <f t="shared" si="51"/>
        <v>853464</v>
      </c>
      <c r="AL73" s="282">
        <f t="shared" si="51"/>
        <v>3802194</v>
      </c>
      <c r="AM73" s="283">
        <f t="shared" si="51"/>
        <v>118363376</v>
      </c>
      <c r="AN73" s="281">
        <f>+AN47+AN68+AN69+AN70+AN71+AN72</f>
        <v>25297181</v>
      </c>
      <c r="AO73" s="282">
        <f t="shared" si="51"/>
        <v>98060723</v>
      </c>
      <c r="AP73" s="282">
        <f t="shared" si="51"/>
        <v>670997</v>
      </c>
      <c r="AQ73" s="282">
        <f>+AQ47+AQ68+AQ69+AQ70+AQ71+AQ72</f>
        <v>2101544</v>
      </c>
      <c r="AR73" s="283">
        <f>+AR47+AR68+AR69+AR70+AR71+AR72</f>
        <v>126130445</v>
      </c>
      <c r="AS73" s="281">
        <f t="shared" si="51"/>
        <v>22391188</v>
      </c>
      <c r="AT73" s="282">
        <f t="shared" si="51"/>
        <v>87521398</v>
      </c>
      <c r="AU73" s="282">
        <f t="shared" si="51"/>
        <v>737799</v>
      </c>
      <c r="AV73" s="282">
        <f t="shared" si="51"/>
        <v>11508</v>
      </c>
      <c r="AW73" s="283">
        <f t="shared" si="51"/>
        <v>110661893</v>
      </c>
      <c r="AX73" s="281">
        <f t="shared" si="51"/>
        <v>41128944</v>
      </c>
      <c r="AY73" s="282">
        <f t="shared" si="51"/>
        <v>102434676</v>
      </c>
      <c r="AZ73" s="282">
        <f t="shared" si="51"/>
        <v>1572655</v>
      </c>
      <c r="BA73" s="282">
        <f t="shared" si="51"/>
        <v>17382458</v>
      </c>
      <c r="BB73" s="283">
        <f t="shared" si="51"/>
        <v>162518733</v>
      </c>
      <c r="BC73" s="281">
        <f t="shared" si="51"/>
        <v>48538016</v>
      </c>
      <c r="BD73" s="282">
        <f t="shared" si="51"/>
        <v>89460505</v>
      </c>
      <c r="BE73" s="282">
        <f t="shared" si="51"/>
        <v>896488</v>
      </c>
      <c r="BF73" s="282">
        <f t="shared" si="51"/>
        <v>7924</v>
      </c>
      <c r="BG73" s="283">
        <f t="shared" si="51"/>
        <v>138902933</v>
      </c>
      <c r="BH73" s="281">
        <f t="shared" si="51"/>
        <v>0</v>
      </c>
      <c r="BI73" s="282">
        <f t="shared" si="51"/>
        <v>0</v>
      </c>
      <c r="BJ73" s="282">
        <f t="shared" si="51"/>
        <v>0</v>
      </c>
      <c r="BK73" s="282">
        <f t="shared" si="51"/>
        <v>0</v>
      </c>
      <c r="BL73" s="283">
        <f t="shared" si="51"/>
        <v>0</v>
      </c>
      <c r="BM73" s="281">
        <f t="shared" si="51"/>
        <v>0</v>
      </c>
      <c r="BN73" s="282">
        <f t="shared" si="51"/>
        <v>0</v>
      </c>
      <c r="BO73" s="282">
        <f t="shared" si="51"/>
        <v>0</v>
      </c>
      <c r="BP73" s="282">
        <f t="shared" si="51"/>
        <v>0</v>
      </c>
      <c r="BQ73" s="283">
        <f t="shared" ref="BQ73:BV73" si="52">+BQ47+BQ68+BQ69+BQ70+BQ71+BQ72</f>
        <v>0</v>
      </c>
      <c r="BR73" s="281">
        <f t="shared" si="52"/>
        <v>352605259</v>
      </c>
      <c r="BS73" s="282">
        <f t="shared" si="52"/>
        <v>954236777</v>
      </c>
      <c r="BT73" s="282">
        <f t="shared" si="52"/>
        <v>7789596</v>
      </c>
      <c r="BU73" s="282">
        <f t="shared" si="52"/>
        <v>41023034</v>
      </c>
      <c r="BV73" s="284">
        <f t="shared" si="52"/>
        <v>1355654666</v>
      </c>
      <c r="BW73" s="1"/>
      <c r="BX73" s="208"/>
    </row>
    <row r="74" spans="1:76" ht="13.5" hidden="1" customHeight="1" x14ac:dyDescent="0.2">
      <c r="A74" s="223"/>
      <c r="D74" s="221" t="s">
        <v>127</v>
      </c>
      <c r="E74" s="268">
        <v>0</v>
      </c>
      <c r="F74" s="269">
        <v>0</v>
      </c>
      <c r="G74" s="269">
        <v>0</v>
      </c>
      <c r="H74" s="285">
        <v>0</v>
      </c>
      <c r="I74" s="38">
        <v>0</v>
      </c>
      <c r="J74" s="268">
        <v>0</v>
      </c>
      <c r="K74" s="269">
        <v>0</v>
      </c>
      <c r="L74" s="269">
        <v>0</v>
      </c>
      <c r="M74" s="285">
        <v>0</v>
      </c>
      <c r="N74" s="39">
        <v>0</v>
      </c>
      <c r="O74" s="269">
        <v>0</v>
      </c>
      <c r="P74" s="269">
        <v>0</v>
      </c>
      <c r="Q74" s="269">
        <v>0</v>
      </c>
      <c r="R74" s="285">
        <v>0</v>
      </c>
      <c r="S74" s="38">
        <v>0</v>
      </c>
      <c r="T74" s="268">
        <v>0</v>
      </c>
      <c r="U74" s="269">
        <v>0</v>
      </c>
      <c r="V74" s="269">
        <v>0</v>
      </c>
      <c r="W74" s="285">
        <v>0</v>
      </c>
      <c r="X74" s="38">
        <v>0</v>
      </c>
      <c r="Y74" s="268">
        <v>0</v>
      </c>
      <c r="Z74" s="269">
        <v>0</v>
      </c>
      <c r="AA74" s="269">
        <v>0</v>
      </c>
      <c r="AB74" s="269">
        <v>0</v>
      </c>
      <c r="AC74" s="139">
        <f>SUM(Y74:AB74)</f>
        <v>0</v>
      </c>
      <c r="AD74" s="268">
        <v>0</v>
      </c>
      <c r="AE74" s="269">
        <v>0</v>
      </c>
      <c r="AF74" s="269">
        <v>0</v>
      </c>
      <c r="AG74" s="285">
        <v>0</v>
      </c>
      <c r="AH74" s="38">
        <f>SUM(AD74:AG74)</f>
        <v>0</v>
      </c>
      <c r="AI74" s="268">
        <v>0</v>
      </c>
      <c r="AJ74" s="269">
        <v>0</v>
      </c>
      <c r="AK74" s="269">
        <v>0</v>
      </c>
      <c r="AL74" s="285">
        <v>0</v>
      </c>
      <c r="AM74" s="38">
        <f>SUM(AI74:AL74)</f>
        <v>0</v>
      </c>
      <c r="AN74" s="268">
        <v>0</v>
      </c>
      <c r="AO74" s="269">
        <v>0</v>
      </c>
      <c r="AP74" s="269">
        <v>0</v>
      </c>
      <c r="AQ74" s="285">
        <v>0</v>
      </c>
      <c r="AR74" s="38">
        <f>SUM(AN74:AQ74)</f>
        <v>0</v>
      </c>
      <c r="AS74" s="268">
        <v>0</v>
      </c>
      <c r="AT74" s="269">
        <v>0</v>
      </c>
      <c r="AU74" s="269">
        <v>0</v>
      </c>
      <c r="AV74" s="285">
        <v>0</v>
      </c>
      <c r="AW74" s="38">
        <f>SUM(AS74:AV74)</f>
        <v>0</v>
      </c>
      <c r="AX74" s="268">
        <v>0</v>
      </c>
      <c r="AY74" s="269">
        <v>0</v>
      </c>
      <c r="AZ74" s="269">
        <v>0</v>
      </c>
      <c r="BA74" s="285">
        <v>0</v>
      </c>
      <c r="BB74" s="38">
        <f>SUM(AX74:BA74)</f>
        <v>0</v>
      </c>
      <c r="BC74" s="268">
        <v>0</v>
      </c>
      <c r="BD74" s="269">
        <v>0</v>
      </c>
      <c r="BE74" s="269">
        <v>0</v>
      </c>
      <c r="BF74" s="285">
        <v>0</v>
      </c>
      <c r="BG74" s="38">
        <f>SUM(BC74:BF74)</f>
        <v>0</v>
      </c>
      <c r="BH74" s="268">
        <v>0</v>
      </c>
      <c r="BI74" s="269">
        <v>0</v>
      </c>
      <c r="BJ74" s="269">
        <v>0</v>
      </c>
      <c r="BK74" s="285">
        <v>0</v>
      </c>
      <c r="BL74" s="38">
        <f>SUM(BH74:BK74)</f>
        <v>0</v>
      </c>
      <c r="BM74" s="268">
        <v>0</v>
      </c>
      <c r="BN74" s="269">
        <v>0</v>
      </c>
      <c r="BO74" s="269">
        <v>0</v>
      </c>
      <c r="BP74" s="285">
        <v>0</v>
      </c>
      <c r="BQ74" s="38">
        <f>SUM(BM74:BP74)</f>
        <v>0</v>
      </c>
      <c r="BR74" s="268">
        <v>0</v>
      </c>
      <c r="BS74" s="269">
        <v>0</v>
      </c>
      <c r="BT74" s="269">
        <v>0</v>
      </c>
      <c r="BU74" s="285">
        <v>0</v>
      </c>
      <c r="BV74" s="40">
        <f>SUM(BR74:BU74)</f>
        <v>0</v>
      </c>
      <c r="BW74" s="1"/>
      <c r="BX74" s="208"/>
    </row>
    <row r="75" spans="1:76" ht="13.5" hidden="1" customHeight="1" x14ac:dyDescent="0.2">
      <c r="A75" s="223" t="s">
        <v>248</v>
      </c>
      <c r="D75" s="225"/>
      <c r="E75" s="269">
        <v>0</v>
      </c>
      <c r="F75" s="269">
        <v>0</v>
      </c>
      <c r="G75" s="269">
        <v>0</v>
      </c>
      <c r="H75" s="269">
        <v>0</v>
      </c>
      <c r="I75" s="39">
        <v>0</v>
      </c>
      <c r="J75" s="268">
        <v>0</v>
      </c>
      <c r="K75" s="269">
        <v>0</v>
      </c>
      <c r="L75" s="269">
        <v>0</v>
      </c>
      <c r="M75" s="269">
        <v>0</v>
      </c>
      <c r="N75" s="39">
        <v>0</v>
      </c>
      <c r="O75" s="269">
        <v>0</v>
      </c>
      <c r="P75" s="269">
        <v>0</v>
      </c>
      <c r="Q75" s="269">
        <v>0</v>
      </c>
      <c r="R75" s="269">
        <v>0</v>
      </c>
      <c r="S75" s="39">
        <v>0</v>
      </c>
      <c r="T75" s="269">
        <v>0</v>
      </c>
      <c r="U75" s="269">
        <v>0</v>
      </c>
      <c r="V75" s="269">
        <v>0</v>
      </c>
      <c r="W75" s="269">
        <v>0</v>
      </c>
      <c r="X75" s="39">
        <v>0</v>
      </c>
      <c r="Y75" s="269">
        <v>0</v>
      </c>
      <c r="Z75" s="269">
        <v>0</v>
      </c>
      <c r="AA75" s="269">
        <v>0</v>
      </c>
      <c r="AB75" s="269">
        <v>0</v>
      </c>
      <c r="AC75" s="39">
        <f>SUM(Y75:AB75)</f>
        <v>0</v>
      </c>
      <c r="AD75" s="269">
        <v>0</v>
      </c>
      <c r="AE75" s="269">
        <v>0</v>
      </c>
      <c r="AF75" s="269">
        <v>0</v>
      </c>
      <c r="AG75" s="269">
        <v>0</v>
      </c>
      <c r="AH75" s="39">
        <f>SUM(AD75:AG75)</f>
        <v>0</v>
      </c>
      <c r="AI75" s="269">
        <v>0</v>
      </c>
      <c r="AJ75" s="269">
        <v>0</v>
      </c>
      <c r="AK75" s="269">
        <v>0</v>
      </c>
      <c r="AL75" s="269">
        <v>0</v>
      </c>
      <c r="AM75" s="39">
        <f>SUM(AI75:AL75)</f>
        <v>0</v>
      </c>
      <c r="AN75" s="269">
        <v>0</v>
      </c>
      <c r="AO75" s="269">
        <v>0</v>
      </c>
      <c r="AP75" s="269">
        <v>0</v>
      </c>
      <c r="AQ75" s="269">
        <v>0</v>
      </c>
      <c r="AR75" s="39">
        <f>SUM(AN75:AQ75)</f>
        <v>0</v>
      </c>
      <c r="AS75" s="269">
        <v>0</v>
      </c>
      <c r="AT75" s="269">
        <v>0</v>
      </c>
      <c r="AU75" s="269">
        <v>0</v>
      </c>
      <c r="AV75" s="269">
        <v>0</v>
      </c>
      <c r="AW75" s="39">
        <f>SUM(AS75:AV75)</f>
        <v>0</v>
      </c>
      <c r="AX75" s="269">
        <v>0</v>
      </c>
      <c r="AY75" s="269">
        <v>0</v>
      </c>
      <c r="AZ75" s="269">
        <v>0</v>
      </c>
      <c r="BA75" s="269">
        <v>0</v>
      </c>
      <c r="BB75" s="39">
        <f>SUM(AX75:BA75)</f>
        <v>0</v>
      </c>
      <c r="BC75" s="269">
        <v>0</v>
      </c>
      <c r="BD75" s="269">
        <v>0</v>
      </c>
      <c r="BE75" s="269">
        <v>0</v>
      </c>
      <c r="BF75" s="269">
        <v>0</v>
      </c>
      <c r="BG75" s="39">
        <f>SUM(BC75:BF75)</f>
        <v>0</v>
      </c>
      <c r="BH75" s="269">
        <v>0</v>
      </c>
      <c r="BI75" s="269">
        <v>0</v>
      </c>
      <c r="BJ75" s="269">
        <v>0</v>
      </c>
      <c r="BK75" s="269">
        <v>0</v>
      </c>
      <c r="BL75" s="39">
        <f>SUM(BH75:BK75)</f>
        <v>0</v>
      </c>
      <c r="BM75" s="269">
        <v>0</v>
      </c>
      <c r="BN75" s="269">
        <v>0</v>
      </c>
      <c r="BO75" s="269">
        <v>0</v>
      </c>
      <c r="BP75" s="269">
        <v>0</v>
      </c>
      <c r="BQ75" s="39">
        <f>SUM(BM75:BP75)</f>
        <v>0</v>
      </c>
      <c r="BR75" s="269">
        <v>0</v>
      </c>
      <c r="BS75" s="269">
        <v>0</v>
      </c>
      <c r="BT75" s="269">
        <v>0</v>
      </c>
      <c r="BU75" s="269">
        <v>0</v>
      </c>
      <c r="BV75" s="40">
        <f>SUM(BR75:BU75)</f>
        <v>0</v>
      </c>
      <c r="BW75" s="1"/>
      <c r="BX75" s="208"/>
    </row>
    <row r="76" spans="1:76" ht="13.5" hidden="1" customHeight="1" x14ac:dyDescent="0.2">
      <c r="A76" s="223"/>
      <c r="D76" s="225"/>
      <c r="E76" s="269">
        <v>0</v>
      </c>
      <c r="F76" s="269">
        <v>0</v>
      </c>
      <c r="G76" s="269">
        <v>0</v>
      </c>
      <c r="H76" s="269">
        <v>0</v>
      </c>
      <c r="I76" s="39">
        <v>0</v>
      </c>
      <c r="J76" s="268">
        <v>0</v>
      </c>
      <c r="K76" s="269">
        <v>0</v>
      </c>
      <c r="L76" s="269">
        <v>0</v>
      </c>
      <c r="M76" s="269">
        <v>0</v>
      </c>
      <c r="N76" s="39">
        <v>0</v>
      </c>
      <c r="O76" s="269">
        <v>0</v>
      </c>
      <c r="P76" s="269">
        <v>0</v>
      </c>
      <c r="Q76" s="269">
        <v>0</v>
      </c>
      <c r="R76" s="269">
        <v>0</v>
      </c>
      <c r="S76" s="39">
        <v>0</v>
      </c>
      <c r="T76" s="269">
        <v>0</v>
      </c>
      <c r="U76" s="269">
        <v>0</v>
      </c>
      <c r="V76" s="269">
        <v>0</v>
      </c>
      <c r="W76" s="269">
        <v>0</v>
      </c>
      <c r="X76" s="39">
        <v>0</v>
      </c>
      <c r="Y76" s="269">
        <v>0</v>
      </c>
      <c r="Z76" s="269">
        <v>0</v>
      </c>
      <c r="AA76" s="269">
        <v>0</v>
      </c>
      <c r="AB76" s="269">
        <v>0</v>
      </c>
      <c r="AC76" s="159">
        <f>SUM(Y76:AB76)</f>
        <v>0</v>
      </c>
      <c r="AD76" s="269">
        <v>0</v>
      </c>
      <c r="AE76" s="269">
        <v>0</v>
      </c>
      <c r="AF76" s="269">
        <v>0</v>
      </c>
      <c r="AG76" s="269">
        <v>0</v>
      </c>
      <c r="AH76" s="39">
        <f>SUM(AD76:AG76)</f>
        <v>0</v>
      </c>
      <c r="AI76" s="269">
        <v>0</v>
      </c>
      <c r="AJ76" s="269">
        <v>0</v>
      </c>
      <c r="AK76" s="269">
        <v>0</v>
      </c>
      <c r="AL76" s="269">
        <v>0</v>
      </c>
      <c r="AM76" s="39">
        <f>SUM(AI76:AL76)</f>
        <v>0</v>
      </c>
      <c r="AN76" s="269">
        <v>0</v>
      </c>
      <c r="AO76" s="269">
        <v>0</v>
      </c>
      <c r="AP76" s="269">
        <v>0</v>
      </c>
      <c r="AQ76" s="269">
        <v>0</v>
      </c>
      <c r="AR76" s="39">
        <f>SUM(AN76:AQ76)</f>
        <v>0</v>
      </c>
      <c r="AS76" s="269">
        <v>0</v>
      </c>
      <c r="AT76" s="269">
        <v>0</v>
      </c>
      <c r="AU76" s="269">
        <v>0</v>
      </c>
      <c r="AV76" s="269">
        <v>0</v>
      </c>
      <c r="AW76" s="39">
        <f>SUM(AS76:AV76)</f>
        <v>0</v>
      </c>
      <c r="AX76" s="269">
        <v>0</v>
      </c>
      <c r="AY76" s="269">
        <v>0</v>
      </c>
      <c r="AZ76" s="269">
        <v>0</v>
      </c>
      <c r="BA76" s="269">
        <v>0</v>
      </c>
      <c r="BB76" s="39">
        <f>SUM(AX76:BA76)</f>
        <v>0</v>
      </c>
      <c r="BC76" s="269">
        <v>0</v>
      </c>
      <c r="BD76" s="269">
        <v>0</v>
      </c>
      <c r="BE76" s="269">
        <v>0</v>
      </c>
      <c r="BF76" s="269">
        <v>0</v>
      </c>
      <c r="BG76" s="39">
        <f>SUM(BC76:BF76)</f>
        <v>0</v>
      </c>
      <c r="BH76" s="269">
        <v>0</v>
      </c>
      <c r="BI76" s="269">
        <v>0</v>
      </c>
      <c r="BJ76" s="269">
        <v>0</v>
      </c>
      <c r="BK76" s="269">
        <v>0</v>
      </c>
      <c r="BL76" s="39">
        <f>SUM(BH76:BK76)</f>
        <v>0</v>
      </c>
      <c r="BM76" s="269">
        <v>0</v>
      </c>
      <c r="BN76" s="269">
        <v>0</v>
      </c>
      <c r="BO76" s="269">
        <v>0</v>
      </c>
      <c r="BP76" s="269">
        <v>0</v>
      </c>
      <c r="BQ76" s="39">
        <f>SUM(BM76:BP76)</f>
        <v>0</v>
      </c>
      <c r="BR76" s="269">
        <v>0</v>
      </c>
      <c r="BS76" s="269">
        <v>0</v>
      </c>
      <c r="BT76" s="269">
        <v>0</v>
      </c>
      <c r="BU76" s="269">
        <v>0</v>
      </c>
      <c r="BV76" s="40">
        <f>SUM(BR76:BU76)</f>
        <v>0</v>
      </c>
      <c r="BW76" s="1"/>
      <c r="BX76" s="208"/>
    </row>
    <row r="77" spans="1:76" x14ac:dyDescent="0.2">
      <c r="A77" s="255" t="s">
        <v>249</v>
      </c>
      <c r="B77" s="256"/>
      <c r="C77" s="257"/>
      <c r="D77" s="258"/>
      <c r="E77" s="242">
        <f>+E73+E74+E75</f>
        <v>452231135.69999999</v>
      </c>
      <c r="F77" s="242">
        <f>+F73+F74+F75</f>
        <v>1161710554</v>
      </c>
      <c r="G77" s="242">
        <f>+G73+G74+G75</f>
        <v>12204523</v>
      </c>
      <c r="H77" s="242">
        <f>+H73+H74+H75</f>
        <v>64986974</v>
      </c>
      <c r="I77" s="240">
        <f>+I73+I74+I75</f>
        <v>1691133186.7</v>
      </c>
      <c r="J77" s="241">
        <f t="shared" ref="J77:BU77" si="53">+J73+J74+J75</f>
        <v>21299829</v>
      </c>
      <c r="K77" s="242">
        <f t="shared" si="53"/>
        <v>102058569</v>
      </c>
      <c r="L77" s="242">
        <f t="shared" si="53"/>
        <v>362073</v>
      </c>
      <c r="M77" s="242">
        <f t="shared" si="53"/>
        <v>13633997</v>
      </c>
      <c r="N77" s="240">
        <f t="shared" si="53"/>
        <v>137354468</v>
      </c>
      <c r="O77" s="242">
        <f t="shared" si="53"/>
        <v>23389993</v>
      </c>
      <c r="P77" s="242">
        <f t="shared" si="53"/>
        <v>90353168</v>
      </c>
      <c r="Q77" s="242">
        <f t="shared" si="53"/>
        <v>582691</v>
      </c>
      <c r="R77" s="242">
        <f t="shared" si="53"/>
        <v>135434</v>
      </c>
      <c r="S77" s="240">
        <f t="shared" si="53"/>
        <v>114461286</v>
      </c>
      <c r="T77" s="242">
        <f t="shared" si="53"/>
        <v>39453704</v>
      </c>
      <c r="U77" s="242">
        <f t="shared" si="53"/>
        <v>83604736</v>
      </c>
      <c r="V77" s="242">
        <f t="shared" si="53"/>
        <v>553754</v>
      </c>
      <c r="W77" s="242">
        <f t="shared" si="53"/>
        <v>23276</v>
      </c>
      <c r="X77" s="240">
        <f t="shared" si="53"/>
        <v>123635470</v>
      </c>
      <c r="Y77" s="242">
        <f t="shared" si="53"/>
        <v>47785459</v>
      </c>
      <c r="Z77" s="242">
        <f t="shared" si="53"/>
        <v>124231215</v>
      </c>
      <c r="AA77" s="242">
        <f t="shared" si="53"/>
        <v>714762</v>
      </c>
      <c r="AB77" s="242">
        <f t="shared" si="53"/>
        <v>122353</v>
      </c>
      <c r="AC77" s="240">
        <f t="shared" si="53"/>
        <v>172853789</v>
      </c>
      <c r="AD77" s="242">
        <f t="shared" si="53"/>
        <v>47186195</v>
      </c>
      <c r="AE77" s="242">
        <f t="shared" si="53"/>
        <v>98938819</v>
      </c>
      <c r="AF77" s="242">
        <f t="shared" si="53"/>
        <v>844913</v>
      </c>
      <c r="AG77" s="242">
        <f t="shared" si="53"/>
        <v>3802346</v>
      </c>
      <c r="AH77" s="240">
        <f t="shared" si="53"/>
        <v>150772273</v>
      </c>
      <c r="AI77" s="242">
        <f t="shared" si="53"/>
        <v>36134750</v>
      </c>
      <c r="AJ77" s="242">
        <f t="shared" si="53"/>
        <v>77572968</v>
      </c>
      <c r="AK77" s="242">
        <f t="shared" si="53"/>
        <v>853464</v>
      </c>
      <c r="AL77" s="242">
        <f t="shared" si="53"/>
        <v>3802194</v>
      </c>
      <c r="AM77" s="240">
        <f t="shared" si="53"/>
        <v>118363376</v>
      </c>
      <c r="AN77" s="242">
        <f t="shared" si="53"/>
        <v>25297181</v>
      </c>
      <c r="AO77" s="242">
        <f t="shared" si="53"/>
        <v>98060723</v>
      </c>
      <c r="AP77" s="242">
        <f t="shared" si="53"/>
        <v>670997</v>
      </c>
      <c r="AQ77" s="242">
        <f t="shared" si="53"/>
        <v>2101544</v>
      </c>
      <c r="AR77" s="240">
        <f t="shared" si="53"/>
        <v>126130445</v>
      </c>
      <c r="AS77" s="242">
        <f t="shared" si="53"/>
        <v>22391188</v>
      </c>
      <c r="AT77" s="242">
        <f t="shared" si="53"/>
        <v>87521398</v>
      </c>
      <c r="AU77" s="242">
        <f t="shared" si="53"/>
        <v>737799</v>
      </c>
      <c r="AV77" s="242">
        <f t="shared" si="53"/>
        <v>11508</v>
      </c>
      <c r="AW77" s="240">
        <f t="shared" si="53"/>
        <v>110661893</v>
      </c>
      <c r="AX77" s="242">
        <f t="shared" si="53"/>
        <v>41128944</v>
      </c>
      <c r="AY77" s="242">
        <f t="shared" si="53"/>
        <v>102434676</v>
      </c>
      <c r="AZ77" s="242">
        <f t="shared" si="53"/>
        <v>1572655</v>
      </c>
      <c r="BA77" s="242">
        <f t="shared" si="53"/>
        <v>17382458</v>
      </c>
      <c r="BB77" s="240">
        <f t="shared" si="53"/>
        <v>162518733</v>
      </c>
      <c r="BC77" s="242">
        <f t="shared" si="53"/>
        <v>48538016</v>
      </c>
      <c r="BD77" s="242">
        <f t="shared" si="53"/>
        <v>89460505</v>
      </c>
      <c r="BE77" s="242">
        <f t="shared" si="53"/>
        <v>896488</v>
      </c>
      <c r="BF77" s="242">
        <f t="shared" si="53"/>
        <v>7924</v>
      </c>
      <c r="BG77" s="240">
        <f t="shared" si="53"/>
        <v>138902933</v>
      </c>
      <c r="BH77" s="242">
        <f t="shared" si="53"/>
        <v>0</v>
      </c>
      <c r="BI77" s="242">
        <f t="shared" si="53"/>
        <v>0</v>
      </c>
      <c r="BJ77" s="242">
        <f t="shared" si="53"/>
        <v>0</v>
      </c>
      <c r="BK77" s="242">
        <f t="shared" si="53"/>
        <v>0</v>
      </c>
      <c r="BL77" s="240">
        <f t="shared" si="53"/>
        <v>0</v>
      </c>
      <c r="BM77" s="242">
        <f t="shared" si="53"/>
        <v>0</v>
      </c>
      <c r="BN77" s="242">
        <f t="shared" si="53"/>
        <v>0</v>
      </c>
      <c r="BO77" s="242">
        <f t="shared" si="53"/>
        <v>0</v>
      </c>
      <c r="BP77" s="242">
        <f t="shared" si="53"/>
        <v>0</v>
      </c>
      <c r="BQ77" s="240">
        <f t="shared" si="53"/>
        <v>0</v>
      </c>
      <c r="BR77" s="242">
        <f t="shared" si="53"/>
        <v>352605259</v>
      </c>
      <c r="BS77" s="242">
        <f t="shared" si="53"/>
        <v>954236777</v>
      </c>
      <c r="BT77" s="242">
        <f t="shared" si="53"/>
        <v>7789596</v>
      </c>
      <c r="BU77" s="242">
        <f t="shared" si="53"/>
        <v>41023034</v>
      </c>
      <c r="BV77" s="244">
        <f t="shared" ref="BV77" si="54">+BV73+BV74+BV75</f>
        <v>1355654666</v>
      </c>
      <c r="BW77" s="259"/>
      <c r="BX77" s="208"/>
    </row>
    <row r="78" spans="1:76" ht="13.9" customHeight="1" x14ac:dyDescent="0.2">
      <c r="A78" s="286" t="s">
        <v>250</v>
      </c>
      <c r="B78" s="287"/>
      <c r="C78" s="287"/>
      <c r="D78" s="203"/>
      <c r="E78" s="288"/>
      <c r="F78" s="289"/>
      <c r="G78" s="289"/>
      <c r="H78" s="289"/>
      <c r="I78" s="289"/>
      <c r="J78" s="289"/>
      <c r="K78" s="289"/>
      <c r="L78" s="289"/>
      <c r="M78" s="289"/>
      <c r="N78" s="289"/>
      <c r="O78" s="289"/>
      <c r="P78" s="289"/>
      <c r="Q78" s="289"/>
      <c r="R78" s="289"/>
      <c r="S78" s="289"/>
      <c r="T78" s="289"/>
      <c r="U78" s="289"/>
      <c r="V78" s="289"/>
      <c r="W78" s="289"/>
      <c r="X78" s="289"/>
      <c r="Y78" s="289"/>
      <c r="Z78" s="289"/>
      <c r="AA78" s="289"/>
      <c r="AB78" s="289"/>
      <c r="AC78" s="289"/>
      <c r="AD78" s="289"/>
      <c r="AE78" s="289"/>
      <c r="AF78" s="289"/>
      <c r="AG78" s="289"/>
      <c r="AH78" s="289"/>
      <c r="AI78" s="289"/>
      <c r="AJ78" s="289"/>
      <c r="AK78" s="289"/>
      <c r="AL78" s="289"/>
      <c r="AM78" s="289"/>
      <c r="AN78" s="289"/>
      <c r="AO78" s="289"/>
      <c r="AP78" s="289"/>
      <c r="AQ78" s="289"/>
      <c r="AR78" s="289"/>
      <c r="AS78" s="289"/>
      <c r="AT78" s="289"/>
      <c r="AU78" s="289"/>
      <c r="AV78" s="289"/>
      <c r="AW78" s="289"/>
      <c r="AX78" s="289"/>
      <c r="AY78" s="289"/>
      <c r="AZ78" s="289"/>
      <c r="BA78" s="289"/>
      <c r="BB78" s="289"/>
      <c r="BC78" s="289"/>
      <c r="BD78" s="289"/>
      <c r="BE78" s="289"/>
      <c r="BF78" s="289"/>
      <c r="BG78" s="289"/>
      <c r="BH78" s="289"/>
      <c r="BI78" s="289"/>
      <c r="BJ78" s="289"/>
      <c r="BK78" s="289"/>
      <c r="BL78" s="289"/>
      <c r="BM78" s="289"/>
      <c r="BN78" s="289"/>
      <c r="BO78" s="289"/>
      <c r="BP78" s="289"/>
      <c r="BQ78" s="289"/>
      <c r="BR78" s="289"/>
      <c r="BS78" s="289"/>
      <c r="BT78" s="289"/>
      <c r="BU78" s="289"/>
      <c r="BV78" s="289"/>
    </row>
    <row r="79" spans="1:76" ht="13.9" customHeight="1" x14ac:dyDescent="0.2">
      <c r="A79" s="233" t="s">
        <v>285</v>
      </c>
      <c r="B79" s="260"/>
      <c r="C79" s="260"/>
      <c r="D79" s="260"/>
      <c r="E79" s="260"/>
      <c r="F79" s="260"/>
      <c r="G79" s="260"/>
      <c r="H79" s="260"/>
      <c r="I79" s="61"/>
      <c r="J79" s="289"/>
      <c r="K79" s="289"/>
      <c r="L79" s="289"/>
      <c r="M79" s="289"/>
      <c r="N79" s="289"/>
      <c r="O79" s="289"/>
      <c r="P79" s="289"/>
      <c r="Q79" s="289"/>
      <c r="R79" s="289"/>
      <c r="S79" s="289"/>
      <c r="T79" s="289"/>
      <c r="U79" s="289"/>
      <c r="V79" s="289"/>
      <c r="W79" s="289"/>
      <c r="X79" s="289"/>
      <c r="Y79" s="289"/>
      <c r="Z79" s="289"/>
      <c r="AA79" s="289"/>
      <c r="AB79" s="289"/>
      <c r="AC79" s="289"/>
      <c r="AD79" s="289"/>
      <c r="AE79" s="289"/>
      <c r="AF79" s="289"/>
      <c r="AG79" s="289"/>
      <c r="AH79" s="289"/>
      <c r="AI79" s="289"/>
      <c r="AK79" s="289"/>
      <c r="AL79" s="289"/>
      <c r="AM79" s="289"/>
      <c r="AN79" s="289"/>
      <c r="AO79" s="289"/>
      <c r="AP79" s="289"/>
      <c r="AQ79" s="289"/>
      <c r="AR79" s="289"/>
      <c r="AS79" s="289"/>
      <c r="AT79" s="289"/>
      <c r="AU79" s="289"/>
      <c r="AV79" s="289"/>
      <c r="AW79" s="289"/>
      <c r="AX79" s="289"/>
      <c r="AY79" s="289"/>
      <c r="AZ79" s="289"/>
      <c r="BA79" s="289"/>
      <c r="BB79" s="289"/>
      <c r="BC79" s="289"/>
      <c r="BD79" s="289"/>
      <c r="BE79" s="289"/>
      <c r="BF79" s="289"/>
      <c r="BG79" s="289"/>
      <c r="BH79" s="289"/>
      <c r="BI79" s="289"/>
      <c r="BJ79" s="289"/>
      <c r="BK79" s="289"/>
      <c r="BL79" s="289"/>
      <c r="BM79" s="289"/>
      <c r="BN79" s="289"/>
      <c r="BO79" s="289"/>
      <c r="BP79" s="289"/>
      <c r="BQ79" s="289"/>
      <c r="BR79" s="289"/>
      <c r="BS79" s="289"/>
      <c r="BT79" s="289"/>
      <c r="BU79" s="289"/>
      <c r="BV79" s="289"/>
    </row>
    <row r="80" spans="1:76" hidden="1" x14ac:dyDescent="0.2">
      <c r="A80" s="233" t="s">
        <v>286</v>
      </c>
      <c r="B80" s="260"/>
      <c r="C80" s="260"/>
      <c r="D80" s="260"/>
      <c r="E80" s="260"/>
      <c r="F80" s="260"/>
      <c r="G80" s="260"/>
      <c r="H80" s="260"/>
      <c r="I80" s="260"/>
      <c r="J80" s="290"/>
      <c r="K80" s="290"/>
      <c r="L80" s="290"/>
      <c r="M80" s="290"/>
      <c r="N80" s="290"/>
      <c r="O80" s="290"/>
      <c r="P80" s="290"/>
      <c r="Q80" s="290"/>
      <c r="R80" s="290"/>
      <c r="S80" s="290"/>
      <c r="T80" s="290"/>
      <c r="U80" s="290"/>
      <c r="V80" s="290"/>
      <c r="W80" s="290"/>
      <c r="X80" s="290"/>
      <c r="Y80" s="290"/>
      <c r="Z80" s="290"/>
      <c r="AA80" s="290"/>
      <c r="AB80" s="290"/>
      <c r="AC80" s="290"/>
      <c r="AD80" s="290"/>
      <c r="AE80" s="290"/>
      <c r="AF80" s="290"/>
      <c r="AG80" s="290"/>
      <c r="AH80" s="290"/>
      <c r="AI80" s="290"/>
      <c r="AJ80" s="290"/>
      <c r="AK80" s="290"/>
      <c r="AL80" s="290"/>
      <c r="AM80" s="290"/>
      <c r="AN80" s="290"/>
      <c r="AO80" s="290"/>
      <c r="AP80" s="290"/>
      <c r="AQ80" s="290"/>
      <c r="AR80" s="290"/>
      <c r="AS80" s="290"/>
      <c r="AT80" s="290"/>
      <c r="AU80" s="290"/>
      <c r="AV80" s="290"/>
      <c r="AW80" s="290"/>
      <c r="AX80" s="290"/>
      <c r="AY80" s="290"/>
      <c r="AZ80" s="290"/>
      <c r="BA80" s="290"/>
      <c r="BB80" s="290"/>
      <c r="BC80" s="290"/>
      <c r="BD80" s="290"/>
      <c r="BE80" s="290"/>
      <c r="BF80" s="290"/>
      <c r="BG80" s="290"/>
      <c r="BH80" s="290"/>
      <c r="BI80" s="290"/>
      <c r="BJ80" s="290"/>
      <c r="BK80" s="290"/>
      <c r="BL80" s="290"/>
      <c r="BM80" s="290"/>
      <c r="BN80" s="290"/>
      <c r="BO80" s="290"/>
      <c r="BP80" s="290"/>
      <c r="BQ80" s="290"/>
      <c r="BR80" s="290"/>
      <c r="BS80" s="290"/>
      <c r="BT80" s="290"/>
      <c r="BU80" s="290"/>
      <c r="BV80" s="290"/>
    </row>
    <row r="81" spans="1:74" ht="12" customHeight="1" x14ac:dyDescent="0.2">
      <c r="A81" s="286" t="s">
        <v>287</v>
      </c>
      <c r="B81" s="291"/>
      <c r="C81" s="291"/>
      <c r="D81" s="203"/>
      <c r="E81" s="292"/>
      <c r="F81" s="290"/>
      <c r="G81" s="290"/>
      <c r="H81" s="290"/>
      <c r="I81" s="290"/>
      <c r="J81" s="290"/>
      <c r="K81" s="290"/>
      <c r="L81" s="290"/>
      <c r="M81" s="290"/>
      <c r="N81" s="290"/>
      <c r="O81" s="290"/>
      <c r="P81" s="290"/>
      <c r="Q81" s="290"/>
      <c r="R81" s="290"/>
      <c r="S81" s="290"/>
      <c r="T81" s="290"/>
      <c r="U81" s="290"/>
      <c r="V81" s="290"/>
      <c r="W81" s="290"/>
      <c r="X81" s="290"/>
      <c r="Y81" s="290"/>
      <c r="Z81" s="290"/>
      <c r="AA81" s="290"/>
      <c r="AB81" s="290"/>
      <c r="AC81" s="290"/>
      <c r="AD81" s="290"/>
      <c r="AE81" s="290"/>
      <c r="AF81" s="290"/>
      <c r="AG81" s="290"/>
      <c r="AH81" s="290"/>
      <c r="AI81" s="290"/>
      <c r="AJ81" s="290"/>
      <c r="AK81" s="290"/>
      <c r="AL81" s="290"/>
      <c r="AM81" s="290"/>
      <c r="AN81" s="290"/>
      <c r="AO81" s="290"/>
      <c r="AP81" s="290"/>
      <c r="AQ81" s="290"/>
      <c r="AR81" s="290"/>
      <c r="AS81" s="290"/>
      <c r="AT81" s="290"/>
      <c r="AU81" s="290"/>
      <c r="AV81" s="290"/>
      <c r="AW81" s="290"/>
      <c r="AX81" s="290"/>
      <c r="AY81" s="290"/>
      <c r="AZ81" s="290"/>
      <c r="BA81" s="290"/>
      <c r="BB81" s="290"/>
      <c r="BC81" s="290"/>
      <c r="BD81" s="290"/>
      <c r="BE81" s="290"/>
      <c r="BF81" s="290"/>
      <c r="BG81" s="290"/>
      <c r="BH81" s="290"/>
      <c r="BI81" s="290"/>
      <c r="BJ81" s="290"/>
      <c r="BK81" s="290"/>
      <c r="BL81" s="290"/>
      <c r="BM81" s="290"/>
      <c r="BN81" s="290"/>
      <c r="BO81" s="290"/>
      <c r="BP81" s="290"/>
      <c r="BQ81" s="290"/>
      <c r="BR81" s="290"/>
      <c r="BS81" s="290"/>
      <c r="BT81" s="290"/>
      <c r="BU81" s="290"/>
      <c r="BV81" s="290"/>
    </row>
    <row r="82" spans="1:74" ht="13.9" customHeight="1" x14ac:dyDescent="0.2">
      <c r="A82" s="233" t="s">
        <v>255</v>
      </c>
      <c r="B82" s="233"/>
      <c r="C82" s="233"/>
      <c r="D82" s="233"/>
      <c r="E82" s="233"/>
      <c r="F82" s="233"/>
      <c r="G82" s="233"/>
      <c r="H82" s="233"/>
      <c r="J82" s="289"/>
      <c r="K82" s="289"/>
      <c r="L82" s="289"/>
      <c r="M82" s="289"/>
      <c r="N82" s="289"/>
      <c r="O82" s="289"/>
      <c r="P82" s="289"/>
      <c r="Q82" s="289"/>
      <c r="R82" s="289"/>
      <c r="S82" s="289"/>
      <c r="T82" s="289"/>
      <c r="U82" s="289"/>
      <c r="V82" s="289"/>
      <c r="W82" s="289"/>
      <c r="X82" s="289"/>
      <c r="Y82" s="289"/>
      <c r="Z82" s="289"/>
      <c r="AA82" s="289"/>
      <c r="AB82" s="289"/>
      <c r="AC82" s="289"/>
      <c r="AD82" s="289"/>
      <c r="AE82" s="289"/>
      <c r="AF82" s="289"/>
      <c r="AG82" s="289"/>
      <c r="AH82" s="289"/>
      <c r="AI82" s="289"/>
      <c r="AJ82" s="289"/>
      <c r="AK82" s="289"/>
      <c r="AL82" s="289"/>
      <c r="AM82" s="289"/>
      <c r="AN82" s="289"/>
      <c r="AO82" s="289"/>
      <c r="AP82" s="289"/>
      <c r="AQ82" s="289"/>
      <c r="AR82" s="289"/>
      <c r="AS82" s="289"/>
      <c r="AT82" s="289"/>
      <c r="AU82" s="289"/>
      <c r="AV82" s="289"/>
      <c r="AW82" s="289"/>
      <c r="AX82" s="289"/>
      <c r="AY82" s="289"/>
      <c r="AZ82" s="289"/>
      <c r="BA82" s="289"/>
      <c r="BB82" s="289"/>
      <c r="BC82" s="289"/>
      <c r="BD82" s="289"/>
      <c r="BE82" s="289"/>
      <c r="BF82" s="289"/>
      <c r="BG82" s="289"/>
      <c r="BH82" s="289"/>
      <c r="BI82" s="289"/>
      <c r="BJ82" s="289"/>
      <c r="BK82" s="289"/>
      <c r="BL82" s="289"/>
      <c r="BM82" s="289"/>
      <c r="BN82" s="289"/>
      <c r="BO82" s="289"/>
      <c r="BP82" s="289"/>
      <c r="BQ82" s="289"/>
      <c r="BR82" s="289"/>
      <c r="BS82" s="289"/>
      <c r="BT82" s="289"/>
      <c r="BU82" s="289"/>
      <c r="BV82" s="289"/>
    </row>
    <row r="83" spans="1:74" x14ac:dyDescent="0.2">
      <c r="A83" s="233" t="s">
        <v>288</v>
      </c>
      <c r="B83" s="260"/>
      <c r="C83" s="260"/>
      <c r="D83" s="260"/>
      <c r="E83" s="260"/>
      <c r="F83" s="260"/>
      <c r="G83" s="260"/>
      <c r="H83" s="260"/>
      <c r="I83" s="61"/>
      <c r="J83" s="289"/>
      <c r="K83" s="289"/>
      <c r="L83" s="289"/>
      <c r="M83" s="289"/>
      <c r="N83" s="289"/>
      <c r="O83" s="289"/>
      <c r="P83" s="289"/>
      <c r="Q83" s="289"/>
      <c r="R83" s="289"/>
      <c r="S83" s="289"/>
      <c r="T83" s="289"/>
      <c r="U83" s="289"/>
      <c r="V83" s="289"/>
      <c r="W83" s="289"/>
      <c r="X83" s="289"/>
      <c r="Y83" s="289"/>
      <c r="Z83" s="289"/>
      <c r="AA83" s="289"/>
      <c r="AB83" s="289"/>
      <c r="AC83" s="289"/>
      <c r="AD83" s="289"/>
      <c r="AE83" s="289"/>
      <c r="AF83" s="289"/>
      <c r="AG83" s="289"/>
      <c r="AH83" s="289"/>
      <c r="AI83" s="289"/>
      <c r="AK83" s="289"/>
      <c r="AL83" s="289"/>
      <c r="AM83" s="289"/>
      <c r="AN83" s="289"/>
      <c r="AO83" s="289"/>
      <c r="AP83" s="289"/>
      <c r="AQ83" s="289"/>
      <c r="AR83" s="289"/>
      <c r="AS83" s="289"/>
      <c r="AT83" s="289"/>
      <c r="AU83" s="289"/>
      <c r="AV83" s="289"/>
      <c r="AW83" s="289"/>
      <c r="AX83" s="289"/>
      <c r="AY83" s="289"/>
      <c r="AZ83" s="289"/>
      <c r="BA83" s="289"/>
      <c r="BB83" s="289"/>
      <c r="BC83" s="289"/>
      <c r="BD83" s="289"/>
      <c r="BE83" s="289"/>
      <c r="BF83" s="289"/>
      <c r="BG83" s="289"/>
      <c r="BH83" s="289"/>
      <c r="BI83" s="289"/>
      <c r="BJ83" s="289"/>
      <c r="BK83" s="289"/>
      <c r="BL83" s="289"/>
      <c r="BM83" s="289"/>
      <c r="BN83" s="289"/>
      <c r="BO83" s="289"/>
      <c r="BP83" s="289"/>
      <c r="BQ83" s="289"/>
      <c r="BR83" s="289"/>
      <c r="BS83" s="289"/>
      <c r="BT83" s="289"/>
      <c r="BU83" s="289"/>
      <c r="BV83" s="289"/>
    </row>
    <row r="86" spans="1:74" x14ac:dyDescent="0.2">
      <c r="B86" s="210"/>
      <c r="C86" s="203"/>
      <c r="D86" s="203"/>
      <c r="E86" s="288"/>
      <c r="F86" s="289"/>
      <c r="G86" s="289"/>
      <c r="H86" s="289"/>
      <c r="I86" s="289"/>
      <c r="J86" s="289"/>
      <c r="K86" s="289"/>
      <c r="L86" s="289"/>
      <c r="M86" s="289"/>
      <c r="N86" s="289"/>
      <c r="O86" s="289"/>
      <c r="P86" s="289"/>
      <c r="Q86" s="289"/>
      <c r="R86" s="289"/>
      <c r="S86" s="289"/>
      <c r="T86" s="289"/>
      <c r="U86" s="289"/>
      <c r="V86" s="289"/>
      <c r="W86" s="289"/>
      <c r="X86" s="289"/>
      <c r="Y86" s="289"/>
      <c r="Z86" s="289"/>
      <c r="AA86" s="289"/>
      <c r="AB86" s="289"/>
      <c r="AC86" s="289"/>
      <c r="AD86" s="289"/>
      <c r="AE86" s="289"/>
      <c r="AF86" s="289"/>
      <c r="AG86" s="289"/>
      <c r="AH86" s="289"/>
      <c r="AI86" s="289"/>
      <c r="AJ86" s="289"/>
      <c r="AK86" s="289"/>
      <c r="AL86" s="289"/>
      <c r="AM86" s="289"/>
      <c r="AN86" s="289"/>
      <c r="AO86" s="289"/>
      <c r="AP86" s="289"/>
      <c r="AQ86" s="289"/>
      <c r="AR86" s="289"/>
      <c r="AS86" s="289"/>
      <c r="AT86" s="289"/>
      <c r="AU86" s="289"/>
      <c r="AV86" s="289"/>
      <c r="AW86" s="289"/>
      <c r="AX86" s="289"/>
      <c r="AY86" s="289"/>
      <c r="AZ86" s="289"/>
      <c r="BA86" s="289"/>
      <c r="BB86" s="289"/>
      <c r="BC86" s="289"/>
      <c r="BD86" s="289"/>
      <c r="BE86" s="289"/>
      <c r="BF86" s="289"/>
      <c r="BG86" s="289"/>
      <c r="BH86" s="289"/>
      <c r="BI86" s="289"/>
      <c r="BJ86" s="289"/>
      <c r="BK86" s="289"/>
      <c r="BL86" s="289"/>
      <c r="BM86" s="289"/>
      <c r="BN86" s="289"/>
      <c r="BO86" s="289"/>
      <c r="BP86" s="289"/>
      <c r="BQ86" s="289"/>
      <c r="BR86" s="289"/>
      <c r="BS86" s="289"/>
      <c r="BT86" s="289"/>
      <c r="BU86" s="289"/>
      <c r="BV86" s="289"/>
    </row>
    <row r="87" spans="1:74" x14ac:dyDescent="0.2">
      <c r="B87" s="210"/>
      <c r="C87" s="203"/>
      <c r="D87" s="203"/>
      <c r="E87" s="288"/>
      <c r="F87" s="289"/>
      <c r="G87" s="289"/>
      <c r="H87" s="289"/>
      <c r="I87" s="289"/>
      <c r="J87" s="289"/>
      <c r="K87" s="289"/>
      <c r="L87" s="289"/>
      <c r="M87" s="289"/>
      <c r="N87" s="289"/>
      <c r="O87" s="289"/>
      <c r="P87" s="289"/>
      <c r="Q87" s="289"/>
      <c r="R87" s="289"/>
      <c r="S87" s="289"/>
      <c r="T87" s="289"/>
      <c r="U87" s="289"/>
      <c r="V87" s="289"/>
      <c r="W87" s="289"/>
      <c r="X87" s="289"/>
      <c r="Y87" s="289"/>
      <c r="Z87" s="289"/>
      <c r="AA87" s="289"/>
      <c r="AB87" s="289"/>
      <c r="AC87" s="289"/>
      <c r="AD87" s="289"/>
      <c r="AE87" s="289"/>
      <c r="AF87" s="289"/>
      <c r="AG87" s="289"/>
      <c r="AH87" s="289"/>
      <c r="AI87" s="289"/>
      <c r="AJ87" s="289"/>
      <c r="AK87" s="289"/>
      <c r="AL87" s="289"/>
      <c r="AM87" s="289"/>
      <c r="AN87" s="289"/>
      <c r="AO87" s="289"/>
      <c r="AP87" s="289"/>
      <c r="AQ87" s="289"/>
      <c r="AR87" s="289"/>
      <c r="AS87" s="289"/>
      <c r="AT87" s="289"/>
      <c r="AU87" s="289"/>
      <c r="AV87" s="289"/>
      <c r="AW87" s="289"/>
      <c r="AX87" s="289"/>
      <c r="AY87" s="289"/>
      <c r="AZ87" s="289"/>
      <c r="BA87" s="289"/>
      <c r="BB87" s="289"/>
      <c r="BC87" s="289"/>
      <c r="BD87" s="289"/>
      <c r="BE87" s="289"/>
      <c r="BF87" s="289"/>
      <c r="BG87" s="289"/>
      <c r="BH87" s="289"/>
      <c r="BI87" s="289"/>
      <c r="BJ87" s="289"/>
      <c r="BK87" s="289"/>
      <c r="BL87" s="289"/>
      <c r="BM87" s="289"/>
      <c r="BN87" s="289"/>
      <c r="BO87" s="289"/>
      <c r="BP87" s="289"/>
      <c r="BQ87" s="289"/>
      <c r="BR87" s="289"/>
      <c r="BS87" s="289"/>
      <c r="BT87" s="289"/>
      <c r="BU87" s="289"/>
      <c r="BV87" s="289"/>
    </row>
    <row r="88" spans="1:74" x14ac:dyDescent="0.2">
      <c r="B88" s="210"/>
      <c r="C88" s="203"/>
      <c r="D88" s="203"/>
      <c r="E88" s="288"/>
      <c r="F88" s="289"/>
      <c r="G88" s="289"/>
      <c r="H88" s="289"/>
      <c r="I88" s="289"/>
      <c r="J88" s="289"/>
      <c r="K88" s="289"/>
      <c r="L88" s="289"/>
      <c r="M88" s="289"/>
      <c r="N88" s="289"/>
      <c r="O88" s="289"/>
      <c r="P88" s="289"/>
      <c r="Q88" s="289"/>
      <c r="R88" s="289"/>
      <c r="S88" s="289"/>
      <c r="T88" s="289"/>
      <c r="U88" s="289"/>
      <c r="V88" s="289"/>
      <c r="W88" s="289"/>
      <c r="X88" s="289"/>
      <c r="Y88" s="289"/>
      <c r="Z88" s="289"/>
      <c r="AA88" s="289"/>
      <c r="AB88" s="289"/>
      <c r="AC88" s="289"/>
      <c r="AD88" s="289"/>
      <c r="AE88" s="289"/>
      <c r="AF88" s="289"/>
      <c r="AG88" s="289"/>
      <c r="AH88" s="289"/>
      <c r="AI88" s="289"/>
      <c r="AJ88" s="289"/>
      <c r="AK88" s="289"/>
      <c r="AL88" s="289"/>
      <c r="AM88" s="289"/>
      <c r="AN88" s="289"/>
      <c r="AO88" s="289"/>
      <c r="AP88" s="289"/>
      <c r="AQ88" s="289"/>
      <c r="AR88" s="289"/>
      <c r="AS88" s="289"/>
      <c r="AT88" s="289"/>
      <c r="AU88" s="289"/>
      <c r="AV88" s="289"/>
      <c r="AW88" s="289"/>
      <c r="AX88" s="289"/>
      <c r="AY88" s="289"/>
      <c r="AZ88" s="289"/>
      <c r="BA88" s="289"/>
      <c r="BB88" s="289"/>
      <c r="BC88" s="289"/>
      <c r="BD88" s="289"/>
      <c r="BE88" s="289"/>
      <c r="BF88" s="289"/>
      <c r="BG88" s="289"/>
      <c r="BH88" s="289"/>
      <c r="BI88" s="289"/>
      <c r="BJ88" s="289"/>
      <c r="BK88" s="289"/>
      <c r="BL88" s="289"/>
      <c r="BM88" s="289"/>
      <c r="BN88" s="289"/>
      <c r="BO88" s="289"/>
      <c r="BP88" s="289"/>
      <c r="BQ88" s="289"/>
      <c r="BR88" s="289"/>
      <c r="BS88" s="289"/>
      <c r="BT88" s="289"/>
      <c r="BU88" s="289"/>
      <c r="BV88" s="289"/>
    </row>
    <row r="89" spans="1:74" x14ac:dyDescent="0.2">
      <c r="B89" s="210"/>
      <c r="C89" s="203"/>
      <c r="D89" s="203"/>
      <c r="E89" s="288"/>
      <c r="F89" s="289"/>
      <c r="G89" s="289"/>
      <c r="H89" s="289"/>
      <c r="I89" s="289"/>
      <c r="J89" s="289"/>
      <c r="K89" s="289"/>
      <c r="L89" s="289"/>
      <c r="M89" s="289"/>
      <c r="N89" s="289"/>
      <c r="O89" s="289"/>
      <c r="P89" s="289"/>
      <c r="Q89" s="289"/>
      <c r="R89" s="289"/>
      <c r="S89" s="289"/>
      <c r="T89" s="289"/>
      <c r="U89" s="289"/>
      <c r="V89" s="289"/>
      <c r="W89" s="289"/>
      <c r="X89" s="289"/>
      <c r="Y89" s="289"/>
      <c r="Z89" s="289"/>
      <c r="AA89" s="289"/>
      <c r="AB89" s="289"/>
      <c r="AC89" s="289"/>
      <c r="AD89" s="289"/>
      <c r="AE89" s="289"/>
      <c r="AF89" s="289"/>
      <c r="AG89" s="289"/>
      <c r="AH89" s="289"/>
      <c r="AI89" s="289"/>
      <c r="AJ89" s="289"/>
      <c r="AK89" s="289"/>
      <c r="AL89" s="289"/>
      <c r="AM89" s="289"/>
      <c r="AN89" s="289"/>
      <c r="AO89" s="289"/>
      <c r="AP89" s="289"/>
      <c r="AQ89" s="289"/>
      <c r="AR89" s="289"/>
      <c r="AS89" s="289"/>
      <c r="AT89" s="289"/>
      <c r="AU89" s="289"/>
      <c r="AV89" s="289"/>
      <c r="AW89" s="289"/>
      <c r="AX89" s="289"/>
      <c r="AY89" s="289"/>
      <c r="AZ89" s="289"/>
      <c r="BA89" s="289"/>
      <c r="BB89" s="289"/>
      <c r="BC89" s="289"/>
      <c r="BD89" s="289"/>
      <c r="BE89" s="289"/>
      <c r="BF89" s="289"/>
      <c r="BG89" s="289"/>
      <c r="BH89" s="289"/>
      <c r="BI89" s="289"/>
      <c r="BJ89" s="289"/>
      <c r="BK89" s="289"/>
      <c r="BL89" s="289"/>
      <c r="BM89" s="289"/>
      <c r="BN89" s="289"/>
      <c r="BO89" s="289"/>
      <c r="BP89" s="289"/>
      <c r="BQ89" s="289"/>
      <c r="BR89" s="289"/>
      <c r="BS89" s="289"/>
      <c r="BT89" s="289"/>
      <c r="BU89" s="289"/>
      <c r="BV89" s="289"/>
    </row>
    <row r="90" spans="1:74" x14ac:dyDescent="0.2">
      <c r="B90" s="210"/>
      <c r="C90" s="203"/>
      <c r="D90" s="203"/>
      <c r="E90" s="288"/>
      <c r="F90" s="289"/>
      <c r="G90" s="289"/>
      <c r="H90" s="289"/>
      <c r="I90" s="289"/>
      <c r="J90" s="289"/>
      <c r="K90" s="289"/>
      <c r="L90" s="289"/>
      <c r="M90" s="289"/>
      <c r="N90" s="289"/>
      <c r="O90" s="289"/>
      <c r="P90" s="289"/>
      <c r="Q90" s="289"/>
      <c r="R90" s="289"/>
      <c r="S90" s="289"/>
      <c r="T90" s="289"/>
      <c r="U90" s="289"/>
      <c r="V90" s="289"/>
      <c r="W90" s="289"/>
      <c r="X90" s="289"/>
      <c r="Y90" s="289"/>
      <c r="Z90" s="289"/>
      <c r="AA90" s="289"/>
      <c r="AB90" s="289"/>
      <c r="AC90" s="289"/>
      <c r="AD90" s="289"/>
      <c r="AE90" s="289"/>
      <c r="AF90" s="289"/>
      <c r="AG90" s="289"/>
      <c r="AH90" s="289"/>
      <c r="AI90" s="289"/>
      <c r="AJ90" s="289"/>
      <c r="AK90" s="289"/>
      <c r="AL90" s="289"/>
      <c r="AM90" s="289"/>
      <c r="AN90" s="289"/>
      <c r="AO90" s="289"/>
      <c r="AP90" s="289"/>
      <c r="AQ90" s="289"/>
      <c r="AR90" s="289"/>
      <c r="AS90" s="289"/>
      <c r="AT90" s="289"/>
      <c r="AU90" s="289"/>
      <c r="AV90" s="289"/>
      <c r="AW90" s="289"/>
      <c r="AX90" s="289"/>
      <c r="AY90" s="289"/>
      <c r="AZ90" s="289"/>
      <c r="BA90" s="289"/>
      <c r="BB90" s="289"/>
      <c r="BC90" s="289"/>
      <c r="BD90" s="289"/>
      <c r="BE90" s="289"/>
      <c r="BF90" s="289"/>
      <c r="BG90" s="289"/>
      <c r="BH90" s="289"/>
      <c r="BI90" s="289"/>
      <c r="BJ90" s="289"/>
      <c r="BK90" s="289"/>
      <c r="BL90" s="289"/>
      <c r="BM90" s="289"/>
      <c r="BN90" s="289"/>
      <c r="BO90" s="289"/>
      <c r="BP90" s="289"/>
      <c r="BQ90" s="289"/>
      <c r="BR90" s="289"/>
      <c r="BS90" s="289"/>
      <c r="BT90" s="289"/>
      <c r="BU90" s="289"/>
      <c r="BV90" s="289"/>
    </row>
    <row r="91" spans="1:74" x14ac:dyDescent="0.2">
      <c r="B91" s="210"/>
      <c r="C91" s="203"/>
      <c r="D91" s="203"/>
      <c r="E91" s="288"/>
      <c r="F91" s="289"/>
      <c r="G91" s="289"/>
      <c r="H91" s="289"/>
      <c r="I91" s="289"/>
      <c r="J91" s="289"/>
      <c r="K91" s="289"/>
      <c r="L91" s="289"/>
      <c r="M91" s="289"/>
      <c r="N91" s="289"/>
      <c r="O91" s="289"/>
      <c r="P91" s="289"/>
      <c r="Q91" s="289"/>
      <c r="R91" s="289"/>
      <c r="S91" s="289"/>
      <c r="T91" s="289"/>
      <c r="U91" s="289"/>
      <c r="V91" s="289"/>
      <c r="W91" s="289"/>
      <c r="X91" s="289"/>
      <c r="Y91" s="289"/>
      <c r="Z91" s="289"/>
      <c r="AA91" s="289"/>
      <c r="AB91" s="289"/>
      <c r="AC91" s="289"/>
      <c r="AD91" s="289"/>
      <c r="AE91" s="289"/>
      <c r="AF91" s="289"/>
      <c r="AG91" s="289"/>
      <c r="AH91" s="289"/>
      <c r="AI91" s="289"/>
      <c r="AJ91" s="289"/>
      <c r="AK91" s="289"/>
      <c r="AL91" s="289"/>
      <c r="AM91" s="289"/>
      <c r="AN91" s="289"/>
      <c r="AO91" s="289"/>
      <c r="AP91" s="289"/>
      <c r="AQ91" s="289"/>
      <c r="AR91" s="289"/>
      <c r="AS91" s="289"/>
      <c r="AT91" s="289"/>
      <c r="AU91" s="289"/>
      <c r="AV91" s="289"/>
      <c r="AW91" s="289"/>
      <c r="AX91" s="289"/>
      <c r="AY91" s="289"/>
      <c r="AZ91" s="289"/>
      <c r="BA91" s="289"/>
      <c r="BB91" s="289"/>
      <c r="BC91" s="289"/>
      <c r="BD91" s="289"/>
      <c r="BE91" s="289"/>
      <c r="BF91" s="289"/>
      <c r="BG91" s="289"/>
      <c r="BH91" s="289"/>
      <c r="BI91" s="289"/>
      <c r="BJ91" s="289"/>
      <c r="BK91" s="289"/>
      <c r="BL91" s="289"/>
      <c r="BM91" s="289"/>
      <c r="BN91" s="289"/>
      <c r="BO91" s="289"/>
      <c r="BP91" s="289"/>
      <c r="BQ91" s="289"/>
      <c r="BR91" s="289"/>
      <c r="BS91" s="289"/>
      <c r="BT91" s="289"/>
      <c r="BU91" s="289"/>
      <c r="BV91" s="289"/>
    </row>
    <row r="92" spans="1:74" x14ac:dyDescent="0.2">
      <c r="B92" s="210"/>
      <c r="C92" s="203"/>
      <c r="D92" s="203"/>
      <c r="E92" s="288"/>
      <c r="F92" s="289"/>
      <c r="G92" s="289"/>
      <c r="H92" s="289"/>
      <c r="I92" s="289"/>
      <c r="J92" s="289"/>
      <c r="K92" s="289"/>
      <c r="L92" s="289"/>
      <c r="M92" s="289"/>
      <c r="N92" s="289"/>
      <c r="O92" s="289"/>
      <c r="P92" s="289"/>
      <c r="Q92" s="289"/>
      <c r="R92" s="289"/>
      <c r="S92" s="289"/>
      <c r="T92" s="289"/>
      <c r="U92" s="289"/>
      <c r="V92" s="289"/>
      <c r="W92" s="289"/>
      <c r="X92" s="289"/>
      <c r="Y92" s="289"/>
      <c r="Z92" s="289"/>
      <c r="AA92" s="289"/>
      <c r="AB92" s="289"/>
      <c r="AC92" s="289"/>
      <c r="AD92" s="289"/>
      <c r="AE92" s="289"/>
      <c r="AF92" s="289"/>
      <c r="AG92" s="289"/>
      <c r="AH92" s="289"/>
      <c r="AI92" s="289"/>
      <c r="AJ92" s="289"/>
      <c r="AK92" s="289"/>
      <c r="AL92" s="289"/>
      <c r="AM92" s="289"/>
      <c r="AN92" s="289"/>
      <c r="AO92" s="289"/>
      <c r="AP92" s="289"/>
      <c r="AQ92" s="289"/>
      <c r="AR92" s="289"/>
      <c r="AS92" s="289"/>
      <c r="AT92" s="289"/>
      <c r="AU92" s="289"/>
      <c r="AV92" s="289"/>
      <c r="AW92" s="289"/>
      <c r="AX92" s="289"/>
      <c r="AY92" s="289"/>
      <c r="AZ92" s="289"/>
      <c r="BA92" s="289"/>
      <c r="BB92" s="289"/>
      <c r="BC92" s="289"/>
      <c r="BD92" s="289"/>
      <c r="BE92" s="289"/>
      <c r="BF92" s="289"/>
      <c r="BG92" s="289"/>
      <c r="BH92" s="289"/>
      <c r="BI92" s="289"/>
      <c r="BJ92" s="289"/>
      <c r="BK92" s="289"/>
      <c r="BL92" s="289"/>
      <c r="BM92" s="289"/>
      <c r="BN92" s="289"/>
      <c r="BO92" s="289"/>
      <c r="BP92" s="289"/>
      <c r="BQ92" s="289"/>
      <c r="BR92" s="289"/>
      <c r="BS92" s="289"/>
      <c r="BT92" s="289"/>
      <c r="BU92" s="289"/>
      <c r="BV92" s="289"/>
    </row>
    <row r="93" spans="1:74" x14ac:dyDescent="0.2">
      <c r="B93" s="210"/>
      <c r="C93" s="203"/>
      <c r="D93" s="203"/>
      <c r="E93" s="288"/>
      <c r="F93" s="289"/>
      <c r="G93" s="289"/>
      <c r="H93" s="289"/>
      <c r="I93" s="289"/>
      <c r="J93" s="289"/>
      <c r="K93" s="289"/>
      <c r="L93" s="289"/>
      <c r="M93" s="289"/>
      <c r="N93" s="289"/>
      <c r="O93" s="289"/>
      <c r="P93" s="289"/>
      <c r="Q93" s="289"/>
      <c r="R93" s="289"/>
      <c r="S93" s="289"/>
      <c r="T93" s="289"/>
      <c r="U93" s="289"/>
      <c r="V93" s="289"/>
      <c r="W93" s="289"/>
      <c r="X93" s="289"/>
      <c r="Y93" s="289"/>
      <c r="Z93" s="289"/>
      <c r="AA93" s="289"/>
      <c r="AB93" s="289"/>
      <c r="AC93" s="289"/>
      <c r="AD93" s="289"/>
      <c r="AE93" s="289"/>
      <c r="AF93" s="289"/>
      <c r="AG93" s="289"/>
      <c r="AH93" s="289"/>
      <c r="AI93" s="289"/>
      <c r="AJ93" s="289"/>
      <c r="AK93" s="289"/>
      <c r="AL93" s="289"/>
      <c r="AM93" s="289"/>
      <c r="AN93" s="289"/>
      <c r="AO93" s="289"/>
      <c r="AP93" s="289"/>
      <c r="AQ93" s="289"/>
      <c r="AR93" s="289"/>
      <c r="AS93" s="289"/>
      <c r="AT93" s="289"/>
      <c r="AU93" s="289"/>
      <c r="AV93" s="289"/>
      <c r="AW93" s="289"/>
      <c r="AX93" s="289"/>
      <c r="AY93" s="289"/>
      <c r="AZ93" s="289"/>
      <c r="BA93" s="289"/>
      <c r="BB93" s="289"/>
      <c r="BC93" s="289"/>
      <c r="BD93" s="289"/>
      <c r="BE93" s="289"/>
      <c r="BF93" s="289"/>
      <c r="BG93" s="289"/>
      <c r="BH93" s="289"/>
      <c r="BI93" s="289"/>
      <c r="BJ93" s="289"/>
      <c r="BK93" s="289"/>
      <c r="BL93" s="289"/>
      <c r="BM93" s="289"/>
      <c r="BN93" s="289"/>
      <c r="BO93" s="289"/>
      <c r="BP93" s="289"/>
      <c r="BQ93" s="289"/>
      <c r="BR93" s="289"/>
      <c r="BS93" s="289"/>
      <c r="BT93" s="289"/>
      <c r="BU93" s="289"/>
      <c r="BV93" s="289"/>
    </row>
    <row r="94" spans="1:74" x14ac:dyDescent="0.2">
      <c r="B94" s="210"/>
      <c r="C94" s="203"/>
      <c r="D94" s="203"/>
      <c r="E94" s="288"/>
      <c r="F94" s="289"/>
      <c r="G94" s="289"/>
      <c r="H94" s="289"/>
      <c r="I94" s="289"/>
      <c r="J94" s="289"/>
      <c r="K94" s="289"/>
      <c r="L94" s="289"/>
      <c r="M94" s="289"/>
      <c r="N94" s="289"/>
      <c r="O94" s="289"/>
      <c r="P94" s="289"/>
      <c r="Q94" s="289"/>
      <c r="R94" s="289"/>
      <c r="S94" s="289"/>
      <c r="T94" s="289"/>
      <c r="U94" s="289"/>
      <c r="V94" s="289"/>
      <c r="W94" s="289"/>
      <c r="X94" s="289"/>
      <c r="Y94" s="289"/>
      <c r="Z94" s="289"/>
      <c r="AA94" s="289"/>
      <c r="AB94" s="289"/>
      <c r="AC94" s="289"/>
      <c r="AD94" s="289"/>
      <c r="AE94" s="289"/>
      <c r="AF94" s="289"/>
      <c r="AG94" s="289"/>
      <c r="AH94" s="289"/>
      <c r="AI94" s="289"/>
      <c r="AJ94" s="289"/>
      <c r="AK94" s="289"/>
      <c r="AL94" s="289"/>
      <c r="AM94" s="289"/>
      <c r="AN94" s="289"/>
      <c r="AO94" s="289"/>
      <c r="AP94" s="289"/>
      <c r="AQ94" s="289"/>
      <c r="AR94" s="289"/>
      <c r="AS94" s="289"/>
      <c r="AT94" s="289"/>
      <c r="AU94" s="289"/>
      <c r="AV94" s="289"/>
      <c r="AW94" s="289"/>
      <c r="AX94" s="289"/>
      <c r="AY94" s="289"/>
      <c r="AZ94" s="289"/>
      <c r="BA94" s="289"/>
      <c r="BB94" s="289"/>
      <c r="BC94" s="289"/>
      <c r="BD94" s="289"/>
      <c r="BE94" s="289"/>
      <c r="BF94" s="289"/>
      <c r="BG94" s="289"/>
      <c r="BH94" s="289"/>
      <c r="BI94" s="289"/>
      <c r="BJ94" s="289"/>
      <c r="BK94" s="289"/>
      <c r="BL94" s="289"/>
      <c r="BM94" s="289"/>
      <c r="BN94" s="289"/>
      <c r="BO94" s="289"/>
      <c r="BP94" s="289"/>
      <c r="BQ94" s="289"/>
      <c r="BR94" s="289"/>
      <c r="BS94" s="289"/>
      <c r="BT94" s="289"/>
      <c r="BU94" s="289"/>
      <c r="BV94" s="289"/>
    </row>
    <row r="95" spans="1:74" x14ac:dyDescent="0.2">
      <c r="B95" s="210"/>
      <c r="C95" s="203"/>
      <c r="D95" s="203"/>
      <c r="E95" s="288"/>
      <c r="F95" s="289"/>
      <c r="G95" s="289"/>
      <c r="H95" s="289"/>
      <c r="I95" s="289"/>
      <c r="J95" s="289"/>
      <c r="K95" s="289"/>
      <c r="L95" s="289"/>
      <c r="M95" s="289"/>
      <c r="N95" s="289"/>
      <c r="O95" s="289"/>
      <c r="P95" s="289"/>
      <c r="Q95" s="289"/>
      <c r="R95" s="289"/>
      <c r="S95" s="289"/>
      <c r="T95" s="289"/>
      <c r="U95" s="289"/>
      <c r="V95" s="289"/>
      <c r="W95" s="289"/>
      <c r="X95" s="289"/>
      <c r="Y95" s="289"/>
      <c r="Z95" s="289"/>
      <c r="AA95" s="289"/>
      <c r="AB95" s="289"/>
      <c r="AC95" s="289"/>
      <c r="AD95" s="289"/>
      <c r="AE95" s="289"/>
      <c r="AF95" s="289"/>
      <c r="AG95" s="289"/>
      <c r="AH95" s="289"/>
      <c r="AI95" s="289"/>
      <c r="AJ95" s="289"/>
      <c r="AK95" s="289"/>
      <c r="AL95" s="289"/>
      <c r="AM95" s="289"/>
      <c r="AN95" s="289"/>
      <c r="AO95" s="289"/>
      <c r="AP95" s="289"/>
      <c r="AQ95" s="289"/>
      <c r="AR95" s="289"/>
      <c r="AS95" s="289"/>
      <c r="AT95" s="289"/>
      <c r="AU95" s="289"/>
      <c r="AV95" s="289"/>
      <c r="AW95" s="289"/>
      <c r="AX95" s="289"/>
      <c r="AY95" s="289"/>
      <c r="AZ95" s="289"/>
      <c r="BA95" s="289"/>
      <c r="BB95" s="289"/>
      <c r="BC95" s="289"/>
      <c r="BD95" s="289"/>
      <c r="BE95" s="289"/>
      <c r="BF95" s="289"/>
      <c r="BG95" s="289"/>
      <c r="BH95" s="289"/>
      <c r="BI95" s="289"/>
      <c r="BJ95" s="289"/>
      <c r="BK95" s="289"/>
      <c r="BL95" s="289"/>
      <c r="BM95" s="289"/>
      <c r="BN95" s="289"/>
      <c r="BO95" s="289"/>
      <c r="BP95" s="289"/>
      <c r="BQ95" s="289"/>
      <c r="BR95" s="289"/>
      <c r="BS95" s="289"/>
      <c r="BT95" s="289"/>
      <c r="BU95" s="289"/>
      <c r="BV95" s="289"/>
    </row>
    <row r="96" spans="1:74" x14ac:dyDescent="0.2">
      <c r="B96" s="210"/>
      <c r="C96" s="203"/>
      <c r="D96" s="203"/>
      <c r="E96" s="288"/>
      <c r="F96" s="289"/>
      <c r="G96" s="289"/>
      <c r="H96" s="289"/>
      <c r="I96" s="289"/>
      <c r="J96" s="289"/>
      <c r="K96" s="289"/>
      <c r="L96" s="289"/>
      <c r="M96" s="289"/>
      <c r="N96" s="289"/>
      <c r="O96" s="289"/>
      <c r="P96" s="289"/>
      <c r="Q96" s="289"/>
      <c r="R96" s="289"/>
      <c r="S96" s="289"/>
      <c r="T96" s="289"/>
      <c r="U96" s="289"/>
      <c r="V96" s="289"/>
      <c r="W96" s="289"/>
      <c r="X96" s="289"/>
      <c r="Y96" s="289"/>
      <c r="Z96" s="289"/>
      <c r="AA96" s="289"/>
      <c r="AB96" s="289"/>
      <c r="AC96" s="289"/>
      <c r="AD96" s="289"/>
      <c r="AE96" s="289"/>
      <c r="AF96" s="289"/>
      <c r="AG96" s="289"/>
      <c r="AH96" s="289"/>
      <c r="AI96" s="289"/>
      <c r="AJ96" s="289"/>
      <c r="AK96" s="289"/>
      <c r="AL96" s="289"/>
      <c r="AM96" s="289"/>
      <c r="AN96" s="289"/>
      <c r="AO96" s="289"/>
      <c r="AP96" s="289"/>
      <c r="AQ96" s="289"/>
      <c r="AR96" s="289"/>
      <c r="AS96" s="289"/>
      <c r="AT96" s="289"/>
      <c r="AU96" s="289"/>
      <c r="AV96" s="289"/>
      <c r="AW96" s="289"/>
      <c r="AX96" s="289"/>
      <c r="AY96" s="289"/>
      <c r="AZ96" s="289"/>
      <c r="BA96" s="289"/>
      <c r="BB96" s="289"/>
      <c r="BC96" s="289"/>
      <c r="BD96" s="289"/>
      <c r="BE96" s="289"/>
      <c r="BF96" s="289"/>
      <c r="BG96" s="289"/>
      <c r="BH96" s="289"/>
      <c r="BI96" s="289"/>
      <c r="BJ96" s="289"/>
      <c r="BK96" s="289"/>
      <c r="BL96" s="289"/>
      <c r="BM96" s="289"/>
      <c r="BN96" s="289"/>
      <c r="BO96" s="289"/>
      <c r="BP96" s="289"/>
      <c r="BQ96" s="289"/>
      <c r="BR96" s="289"/>
      <c r="BS96" s="289"/>
      <c r="BT96" s="289"/>
      <c r="BU96" s="289"/>
      <c r="BV96" s="289"/>
    </row>
    <row r="97" spans="2:74" x14ac:dyDescent="0.2">
      <c r="B97" s="210"/>
      <c r="C97" s="203"/>
      <c r="D97" s="203"/>
      <c r="E97" s="288"/>
      <c r="F97" s="289"/>
      <c r="G97" s="289"/>
      <c r="H97" s="289"/>
      <c r="I97" s="289"/>
      <c r="J97" s="289"/>
      <c r="K97" s="289"/>
      <c r="L97" s="289"/>
      <c r="M97" s="289"/>
      <c r="N97" s="289"/>
      <c r="O97" s="289"/>
      <c r="P97" s="289"/>
      <c r="Q97" s="289"/>
      <c r="R97" s="289"/>
      <c r="S97" s="289"/>
      <c r="T97" s="289"/>
      <c r="U97" s="289"/>
      <c r="V97" s="289"/>
      <c r="W97" s="289"/>
      <c r="X97" s="289"/>
      <c r="Y97" s="289"/>
      <c r="Z97" s="289"/>
      <c r="AA97" s="289"/>
      <c r="AB97" s="289"/>
      <c r="AC97" s="289"/>
      <c r="AD97" s="289"/>
      <c r="AE97" s="289"/>
      <c r="AF97" s="289"/>
      <c r="AG97" s="289"/>
      <c r="AH97" s="289"/>
      <c r="AI97" s="289"/>
      <c r="AJ97" s="289"/>
      <c r="AK97" s="289"/>
      <c r="AL97" s="289"/>
      <c r="AM97" s="289"/>
      <c r="AN97" s="289"/>
      <c r="AO97" s="289"/>
      <c r="AP97" s="289"/>
      <c r="AQ97" s="289"/>
      <c r="AR97" s="289"/>
      <c r="AS97" s="289"/>
      <c r="AT97" s="289"/>
      <c r="AU97" s="289"/>
      <c r="AV97" s="289"/>
      <c r="AW97" s="289"/>
      <c r="AX97" s="289"/>
      <c r="AY97" s="289"/>
      <c r="AZ97" s="289"/>
      <c r="BA97" s="289"/>
      <c r="BB97" s="289"/>
      <c r="BC97" s="289"/>
      <c r="BD97" s="289"/>
      <c r="BE97" s="289"/>
      <c r="BF97" s="289"/>
      <c r="BG97" s="289"/>
      <c r="BH97" s="289"/>
      <c r="BI97" s="289"/>
      <c r="BJ97" s="289"/>
      <c r="BK97" s="289"/>
      <c r="BL97" s="289"/>
      <c r="BM97" s="289"/>
      <c r="BN97" s="289"/>
      <c r="BO97" s="289"/>
      <c r="BP97" s="289"/>
      <c r="BQ97" s="289"/>
      <c r="BR97" s="289"/>
      <c r="BS97" s="289"/>
      <c r="BT97" s="289"/>
      <c r="BU97" s="289"/>
      <c r="BV97" s="289"/>
    </row>
    <row r="98" spans="2:74" x14ac:dyDescent="0.2">
      <c r="B98" s="210"/>
      <c r="C98" s="203"/>
      <c r="D98" s="203"/>
      <c r="E98" s="288"/>
      <c r="F98" s="289"/>
      <c r="G98" s="289"/>
      <c r="H98" s="289"/>
      <c r="I98" s="289"/>
      <c r="J98" s="289"/>
      <c r="K98" s="289"/>
      <c r="L98" s="289"/>
      <c r="M98" s="289"/>
      <c r="N98" s="289"/>
      <c r="O98" s="289"/>
      <c r="P98" s="289"/>
      <c r="Q98" s="289"/>
      <c r="R98" s="289"/>
      <c r="S98" s="289"/>
      <c r="T98" s="289"/>
      <c r="U98" s="289"/>
      <c r="V98" s="289"/>
      <c r="W98" s="289"/>
      <c r="X98" s="289"/>
      <c r="Y98" s="289"/>
      <c r="Z98" s="289"/>
      <c r="AA98" s="289"/>
      <c r="AB98" s="289"/>
      <c r="AC98" s="289"/>
      <c r="AD98" s="289"/>
      <c r="AE98" s="289"/>
      <c r="AF98" s="289"/>
      <c r="AG98" s="289"/>
      <c r="AH98" s="289"/>
      <c r="AI98" s="289"/>
      <c r="AJ98" s="289"/>
      <c r="AK98" s="289"/>
      <c r="AL98" s="289"/>
      <c r="AM98" s="289"/>
      <c r="AN98" s="289"/>
      <c r="AO98" s="289"/>
      <c r="AP98" s="289"/>
      <c r="AQ98" s="289"/>
      <c r="AR98" s="289"/>
      <c r="AS98" s="289"/>
      <c r="AT98" s="289"/>
      <c r="AU98" s="289"/>
      <c r="AV98" s="289"/>
      <c r="AW98" s="289"/>
      <c r="AX98" s="289"/>
      <c r="AY98" s="289"/>
      <c r="AZ98" s="289"/>
      <c r="BA98" s="289"/>
      <c r="BB98" s="289"/>
      <c r="BC98" s="289"/>
      <c r="BD98" s="289"/>
      <c r="BE98" s="289"/>
      <c r="BF98" s="289"/>
      <c r="BG98" s="289"/>
      <c r="BH98" s="289"/>
      <c r="BI98" s="289"/>
      <c r="BJ98" s="289"/>
      <c r="BK98" s="289"/>
      <c r="BL98" s="289"/>
      <c r="BM98" s="289"/>
      <c r="BN98" s="289"/>
      <c r="BO98" s="289"/>
      <c r="BP98" s="289"/>
      <c r="BQ98" s="289"/>
      <c r="BR98" s="289"/>
      <c r="BS98" s="289"/>
      <c r="BT98" s="289"/>
      <c r="BU98" s="289"/>
      <c r="BV98" s="289"/>
    </row>
    <row r="99" spans="2:74" x14ac:dyDescent="0.2">
      <c r="B99" s="210"/>
      <c r="C99" s="203"/>
      <c r="D99" s="203"/>
      <c r="E99" s="288"/>
      <c r="F99" s="289"/>
      <c r="G99" s="289"/>
      <c r="H99" s="289"/>
      <c r="I99" s="289"/>
      <c r="J99" s="289"/>
      <c r="K99" s="289"/>
      <c r="L99" s="289"/>
      <c r="M99" s="289"/>
      <c r="N99" s="289"/>
      <c r="O99" s="289"/>
      <c r="P99" s="289"/>
      <c r="Q99" s="289"/>
      <c r="R99" s="289"/>
      <c r="S99" s="289"/>
      <c r="T99" s="289"/>
      <c r="U99" s="289"/>
      <c r="V99" s="289"/>
      <c r="W99" s="289"/>
      <c r="X99" s="289"/>
      <c r="Y99" s="289"/>
      <c r="Z99" s="289"/>
      <c r="AA99" s="289"/>
      <c r="AB99" s="289"/>
      <c r="AC99" s="289"/>
      <c r="AD99" s="289"/>
      <c r="AE99" s="289"/>
      <c r="AF99" s="289"/>
      <c r="AG99" s="289"/>
      <c r="AH99" s="289"/>
      <c r="AI99" s="289"/>
      <c r="AJ99" s="289"/>
      <c r="AK99" s="289"/>
      <c r="AL99" s="289"/>
      <c r="AM99" s="289"/>
      <c r="AN99" s="289"/>
      <c r="AO99" s="289"/>
      <c r="AP99" s="289"/>
      <c r="AQ99" s="289"/>
      <c r="AR99" s="289"/>
      <c r="AS99" s="289"/>
      <c r="AT99" s="289"/>
      <c r="AU99" s="289"/>
      <c r="AV99" s="289"/>
      <c r="AW99" s="289"/>
      <c r="AX99" s="289"/>
      <c r="AY99" s="289"/>
      <c r="AZ99" s="289"/>
      <c r="BA99" s="289"/>
      <c r="BB99" s="289"/>
      <c r="BC99" s="289"/>
      <c r="BD99" s="289"/>
      <c r="BE99" s="289"/>
      <c r="BF99" s="289"/>
      <c r="BG99" s="289"/>
      <c r="BH99" s="289"/>
      <c r="BI99" s="289"/>
      <c r="BJ99" s="289"/>
      <c r="BK99" s="289"/>
      <c r="BL99" s="289"/>
      <c r="BM99" s="289"/>
      <c r="BN99" s="289"/>
      <c r="BO99" s="289"/>
      <c r="BP99" s="289"/>
      <c r="BQ99" s="289"/>
      <c r="BR99" s="289"/>
      <c r="BS99" s="289"/>
      <c r="BT99" s="289"/>
      <c r="BU99" s="289"/>
      <c r="BV99" s="289"/>
    </row>
    <row r="100" spans="2:74" x14ac:dyDescent="0.2">
      <c r="B100" s="210"/>
      <c r="C100" s="203"/>
      <c r="D100" s="203"/>
      <c r="E100" s="288"/>
      <c r="F100" s="289"/>
      <c r="G100" s="289"/>
      <c r="H100" s="289"/>
      <c r="I100" s="289"/>
      <c r="J100" s="289"/>
      <c r="K100" s="289"/>
      <c r="L100" s="289"/>
      <c r="M100" s="289"/>
      <c r="N100" s="289"/>
      <c r="O100" s="289"/>
      <c r="P100" s="289"/>
      <c r="Q100" s="289"/>
      <c r="R100" s="289"/>
      <c r="S100" s="289"/>
      <c r="T100" s="289"/>
      <c r="U100" s="289"/>
      <c r="V100" s="289"/>
      <c r="W100" s="289"/>
      <c r="X100" s="289"/>
      <c r="Y100" s="289"/>
      <c r="Z100" s="289"/>
      <c r="AA100" s="289"/>
      <c r="AB100" s="289"/>
      <c r="AC100" s="289"/>
      <c r="AD100" s="289"/>
      <c r="AE100" s="289"/>
      <c r="AF100" s="289"/>
      <c r="AG100" s="289"/>
      <c r="AH100" s="289"/>
      <c r="AI100" s="289"/>
      <c r="AJ100" s="289"/>
      <c r="AK100" s="289"/>
      <c r="AL100" s="289"/>
      <c r="AM100" s="289"/>
      <c r="AN100" s="289"/>
      <c r="AO100" s="289"/>
      <c r="AP100" s="289"/>
      <c r="AQ100" s="289"/>
      <c r="AR100" s="289"/>
      <c r="AS100" s="289"/>
      <c r="AT100" s="289"/>
      <c r="AU100" s="289"/>
      <c r="AV100" s="289"/>
      <c r="AW100" s="289"/>
      <c r="AX100" s="289"/>
      <c r="AY100" s="289"/>
      <c r="AZ100" s="289"/>
      <c r="BA100" s="289"/>
      <c r="BB100" s="289"/>
      <c r="BC100" s="289"/>
      <c r="BD100" s="289"/>
      <c r="BE100" s="289"/>
      <c r="BF100" s="289"/>
      <c r="BG100" s="289"/>
      <c r="BH100" s="289"/>
      <c r="BI100" s="289"/>
      <c r="BJ100" s="289"/>
      <c r="BK100" s="289"/>
      <c r="BL100" s="289"/>
      <c r="BM100" s="289"/>
      <c r="BN100" s="289"/>
      <c r="BO100" s="289"/>
      <c r="BP100" s="289"/>
      <c r="BQ100" s="289"/>
      <c r="BR100" s="289"/>
      <c r="BS100" s="289"/>
      <c r="BT100" s="289"/>
      <c r="BU100" s="289"/>
      <c r="BV100" s="289"/>
    </row>
    <row r="101" spans="2:74" x14ac:dyDescent="0.2">
      <c r="B101" s="210"/>
      <c r="C101" s="203"/>
      <c r="D101" s="203"/>
      <c r="E101" s="288"/>
      <c r="F101" s="289"/>
      <c r="G101" s="289"/>
      <c r="H101" s="289"/>
      <c r="I101" s="289"/>
      <c r="J101" s="289"/>
      <c r="K101" s="289"/>
      <c r="L101" s="289"/>
      <c r="M101" s="289"/>
      <c r="N101" s="289"/>
      <c r="O101" s="289"/>
      <c r="P101" s="289"/>
      <c r="Q101" s="289"/>
      <c r="R101" s="289"/>
      <c r="S101" s="289"/>
      <c r="T101" s="289"/>
      <c r="U101" s="289"/>
      <c r="V101" s="289"/>
      <c r="W101" s="289"/>
      <c r="X101" s="289"/>
      <c r="Y101" s="289"/>
      <c r="Z101" s="289"/>
      <c r="AA101" s="289"/>
      <c r="AB101" s="289"/>
      <c r="AC101" s="289"/>
      <c r="AD101" s="289"/>
      <c r="AE101" s="289"/>
      <c r="AF101" s="289"/>
      <c r="AG101" s="289"/>
      <c r="AH101" s="289"/>
      <c r="AI101" s="289"/>
      <c r="AJ101" s="289"/>
      <c r="AK101" s="289"/>
      <c r="AL101" s="289"/>
      <c r="AM101" s="289"/>
      <c r="AN101" s="289"/>
      <c r="AO101" s="289"/>
      <c r="AP101" s="289"/>
      <c r="AQ101" s="289"/>
      <c r="AR101" s="289"/>
      <c r="AS101" s="289"/>
      <c r="AT101" s="289"/>
      <c r="AU101" s="289"/>
      <c r="AV101" s="289"/>
      <c r="AW101" s="289"/>
      <c r="AX101" s="289"/>
      <c r="AY101" s="289"/>
      <c r="AZ101" s="289"/>
      <c r="BA101" s="289"/>
      <c r="BB101" s="289"/>
      <c r="BC101" s="289"/>
      <c r="BD101" s="289"/>
      <c r="BE101" s="289"/>
      <c r="BF101" s="289"/>
      <c r="BG101" s="289"/>
      <c r="BH101" s="289"/>
      <c r="BI101" s="289"/>
      <c r="BJ101" s="289"/>
      <c r="BK101" s="289"/>
      <c r="BL101" s="289"/>
      <c r="BM101" s="289"/>
      <c r="BN101" s="289"/>
      <c r="BO101" s="289"/>
      <c r="BP101" s="289"/>
      <c r="BQ101" s="289"/>
      <c r="BR101" s="289"/>
      <c r="BS101" s="289"/>
      <c r="BT101" s="289"/>
      <c r="BU101" s="289"/>
      <c r="BV101" s="289"/>
    </row>
    <row r="102" spans="2:74" x14ac:dyDescent="0.2">
      <c r="B102" s="210"/>
      <c r="C102" s="203"/>
      <c r="D102" s="203"/>
      <c r="E102" s="288"/>
      <c r="F102" s="289"/>
      <c r="G102" s="289"/>
      <c r="H102" s="289"/>
      <c r="I102" s="289"/>
      <c r="J102" s="289"/>
      <c r="K102" s="289"/>
      <c r="L102" s="289"/>
      <c r="M102" s="289"/>
      <c r="N102" s="289"/>
      <c r="O102" s="289"/>
      <c r="P102" s="289"/>
      <c r="Q102" s="289"/>
      <c r="R102" s="289"/>
      <c r="S102" s="289"/>
      <c r="T102" s="289"/>
      <c r="U102" s="289"/>
      <c r="V102" s="289"/>
      <c r="W102" s="289"/>
      <c r="X102" s="289"/>
      <c r="Y102" s="289"/>
      <c r="Z102" s="289"/>
      <c r="AA102" s="289"/>
      <c r="AB102" s="289"/>
      <c r="AC102" s="289"/>
      <c r="AD102" s="289"/>
      <c r="AE102" s="289"/>
      <c r="AF102" s="289"/>
      <c r="AG102" s="289"/>
      <c r="AH102" s="289"/>
      <c r="AI102" s="289"/>
      <c r="AJ102" s="289"/>
      <c r="AK102" s="289"/>
      <c r="AL102" s="289"/>
      <c r="AM102" s="289"/>
      <c r="AN102" s="289"/>
      <c r="AO102" s="289"/>
      <c r="AP102" s="289"/>
      <c r="AQ102" s="289"/>
      <c r="AR102" s="289"/>
      <c r="AS102" s="289"/>
      <c r="AT102" s="289"/>
      <c r="AU102" s="289"/>
      <c r="AV102" s="289"/>
      <c r="AW102" s="289"/>
      <c r="AX102" s="289"/>
      <c r="AY102" s="289"/>
      <c r="AZ102" s="289"/>
      <c r="BA102" s="289"/>
      <c r="BB102" s="289"/>
      <c r="BC102" s="289"/>
      <c r="BD102" s="289"/>
      <c r="BE102" s="289"/>
      <c r="BF102" s="289"/>
      <c r="BG102" s="289"/>
      <c r="BH102" s="289"/>
      <c r="BI102" s="289"/>
      <c r="BJ102" s="289"/>
      <c r="BK102" s="289"/>
      <c r="BL102" s="289"/>
      <c r="BM102" s="289"/>
      <c r="BN102" s="289"/>
      <c r="BO102" s="289"/>
      <c r="BP102" s="289"/>
      <c r="BQ102" s="289"/>
      <c r="BR102" s="289"/>
      <c r="BS102" s="289"/>
      <c r="BT102" s="289"/>
      <c r="BU102" s="289"/>
      <c r="BV102" s="289"/>
    </row>
    <row r="103" spans="2:74" x14ac:dyDescent="0.2">
      <c r="B103" s="210"/>
      <c r="C103" s="203"/>
      <c r="D103" s="203"/>
      <c r="E103" s="288"/>
      <c r="F103" s="289"/>
      <c r="G103" s="289"/>
      <c r="H103" s="289"/>
      <c r="I103" s="289"/>
      <c r="J103" s="289"/>
      <c r="K103" s="289"/>
      <c r="L103" s="289"/>
      <c r="M103" s="289"/>
      <c r="N103" s="289"/>
      <c r="O103" s="289"/>
      <c r="P103" s="289"/>
      <c r="Q103" s="289"/>
      <c r="R103" s="289"/>
      <c r="S103" s="289"/>
      <c r="T103" s="289"/>
      <c r="U103" s="289"/>
      <c r="V103" s="289"/>
      <c r="W103" s="289"/>
      <c r="X103" s="289"/>
      <c r="Y103" s="289"/>
      <c r="Z103" s="289"/>
      <c r="AA103" s="289"/>
      <c r="AB103" s="289"/>
      <c r="AC103" s="289"/>
      <c r="AD103" s="289"/>
      <c r="AE103" s="289"/>
      <c r="AF103" s="289"/>
      <c r="AG103" s="289"/>
      <c r="AH103" s="289"/>
      <c r="AI103" s="289"/>
      <c r="AJ103" s="289"/>
      <c r="AK103" s="289"/>
      <c r="AL103" s="289"/>
      <c r="AM103" s="289"/>
      <c r="AN103" s="289"/>
      <c r="AO103" s="289"/>
      <c r="AP103" s="289"/>
      <c r="AQ103" s="289"/>
      <c r="AR103" s="289"/>
      <c r="AS103" s="289"/>
      <c r="AT103" s="289"/>
      <c r="AU103" s="289"/>
      <c r="AV103" s="289"/>
      <c r="AW103" s="289"/>
      <c r="AX103" s="289"/>
      <c r="AY103" s="289"/>
      <c r="AZ103" s="289"/>
      <c r="BA103" s="289"/>
      <c r="BB103" s="289"/>
      <c r="BC103" s="289"/>
      <c r="BD103" s="289"/>
      <c r="BE103" s="289"/>
      <c r="BF103" s="289"/>
      <c r="BG103" s="289"/>
      <c r="BH103" s="289"/>
      <c r="BI103" s="289"/>
      <c r="BJ103" s="289"/>
      <c r="BK103" s="289"/>
      <c r="BL103" s="289"/>
      <c r="BM103" s="289"/>
      <c r="BN103" s="289"/>
      <c r="BO103" s="289"/>
      <c r="BP103" s="289"/>
      <c r="BQ103" s="289"/>
      <c r="BR103" s="289"/>
      <c r="BS103" s="289"/>
      <c r="BT103" s="289"/>
      <c r="BU103" s="289"/>
      <c r="BV103" s="289"/>
    </row>
    <row r="104" spans="2:74" x14ac:dyDescent="0.2">
      <c r="B104" s="210"/>
      <c r="C104" s="203"/>
      <c r="D104" s="203"/>
      <c r="E104" s="288"/>
      <c r="F104" s="289"/>
      <c r="G104" s="289"/>
      <c r="H104" s="289"/>
      <c r="I104" s="289"/>
      <c r="J104" s="289"/>
      <c r="K104" s="289"/>
      <c r="L104" s="289"/>
      <c r="M104" s="289"/>
      <c r="N104" s="289"/>
      <c r="O104" s="289"/>
      <c r="P104" s="289"/>
      <c r="Q104" s="289"/>
      <c r="R104" s="289"/>
      <c r="S104" s="289"/>
      <c r="T104" s="289"/>
      <c r="U104" s="289"/>
      <c r="V104" s="289"/>
      <c r="W104" s="289"/>
      <c r="X104" s="289"/>
      <c r="Y104" s="289"/>
      <c r="Z104" s="289"/>
      <c r="AA104" s="289"/>
      <c r="AB104" s="289"/>
      <c r="AC104" s="289"/>
      <c r="AD104" s="289"/>
      <c r="AE104" s="289"/>
      <c r="AF104" s="289"/>
      <c r="AG104" s="289"/>
      <c r="AH104" s="289"/>
      <c r="AI104" s="289"/>
      <c r="AJ104" s="289"/>
      <c r="AK104" s="289"/>
      <c r="AL104" s="289"/>
      <c r="AM104" s="289"/>
      <c r="AN104" s="289"/>
      <c r="AO104" s="289"/>
      <c r="AP104" s="289"/>
      <c r="AQ104" s="289"/>
      <c r="AR104" s="289"/>
      <c r="AS104" s="289"/>
      <c r="AT104" s="289"/>
      <c r="AU104" s="289"/>
      <c r="AV104" s="289"/>
      <c r="AW104" s="289"/>
      <c r="AX104" s="289"/>
      <c r="AY104" s="289"/>
      <c r="AZ104" s="289"/>
      <c r="BA104" s="289"/>
      <c r="BB104" s="289"/>
      <c r="BC104" s="289"/>
      <c r="BD104" s="289"/>
      <c r="BE104" s="289"/>
      <c r="BF104" s="289"/>
      <c r="BG104" s="289"/>
      <c r="BH104" s="289"/>
      <c r="BI104" s="289"/>
      <c r="BJ104" s="289"/>
      <c r="BK104" s="289"/>
      <c r="BL104" s="289"/>
      <c r="BM104" s="289"/>
      <c r="BN104" s="289"/>
      <c r="BO104" s="289"/>
      <c r="BP104" s="289"/>
      <c r="BQ104" s="289"/>
      <c r="BR104" s="289"/>
      <c r="BS104" s="289"/>
      <c r="BT104" s="289"/>
      <c r="BU104" s="289"/>
      <c r="BV104" s="289"/>
    </row>
    <row r="105" spans="2:74" x14ac:dyDescent="0.2">
      <c r="B105" s="210"/>
      <c r="C105" s="203"/>
      <c r="D105" s="203"/>
      <c r="E105" s="288"/>
      <c r="F105" s="289"/>
      <c r="G105" s="289"/>
      <c r="H105" s="289"/>
      <c r="I105" s="289"/>
      <c r="J105" s="289"/>
      <c r="K105" s="289"/>
      <c r="L105" s="289"/>
      <c r="M105" s="289"/>
      <c r="N105" s="289"/>
      <c r="O105" s="289"/>
      <c r="P105" s="289"/>
      <c r="Q105" s="289"/>
      <c r="R105" s="289"/>
      <c r="S105" s="289"/>
      <c r="T105" s="289"/>
      <c r="U105" s="289"/>
      <c r="V105" s="289"/>
      <c r="W105" s="289"/>
      <c r="X105" s="289"/>
      <c r="Y105" s="289"/>
      <c r="Z105" s="289"/>
      <c r="AA105" s="289"/>
      <c r="AB105" s="289"/>
      <c r="AC105" s="289"/>
      <c r="AD105" s="289"/>
      <c r="AE105" s="289"/>
      <c r="AF105" s="289"/>
      <c r="AG105" s="289"/>
      <c r="AH105" s="289"/>
      <c r="AI105" s="289"/>
      <c r="AJ105" s="289"/>
      <c r="AK105" s="289"/>
      <c r="AL105" s="289"/>
      <c r="AM105" s="289"/>
      <c r="AN105" s="289"/>
      <c r="AO105" s="289"/>
      <c r="AP105" s="289"/>
      <c r="AQ105" s="289"/>
      <c r="AR105" s="289"/>
      <c r="AS105" s="289"/>
      <c r="AT105" s="289"/>
      <c r="AU105" s="289"/>
      <c r="AV105" s="289"/>
      <c r="AW105" s="289"/>
      <c r="AX105" s="289"/>
      <c r="AY105" s="289"/>
      <c r="AZ105" s="289"/>
      <c r="BA105" s="289"/>
      <c r="BB105" s="289"/>
      <c r="BC105" s="289"/>
      <c r="BD105" s="289"/>
      <c r="BE105" s="289"/>
      <c r="BF105" s="289"/>
      <c r="BG105" s="289"/>
      <c r="BH105" s="289"/>
      <c r="BI105" s="289"/>
      <c r="BJ105" s="289"/>
      <c r="BK105" s="289"/>
      <c r="BL105" s="289"/>
      <c r="BM105" s="289"/>
      <c r="BN105" s="289"/>
      <c r="BO105" s="289"/>
      <c r="BP105" s="289"/>
      <c r="BQ105" s="289"/>
      <c r="BR105" s="289"/>
      <c r="BS105" s="289"/>
      <c r="BT105" s="289"/>
      <c r="BU105" s="289"/>
      <c r="BV105" s="289"/>
    </row>
    <row r="106" spans="2:74" x14ac:dyDescent="0.2">
      <c r="B106" s="210"/>
      <c r="C106" s="203"/>
      <c r="D106" s="203"/>
      <c r="E106" s="288"/>
      <c r="F106" s="289"/>
      <c r="G106" s="289"/>
      <c r="H106" s="289"/>
      <c r="I106" s="289"/>
      <c r="J106" s="289"/>
      <c r="K106" s="289"/>
      <c r="L106" s="289"/>
      <c r="M106" s="289"/>
      <c r="N106" s="289"/>
      <c r="O106" s="289"/>
      <c r="P106" s="289"/>
      <c r="Q106" s="289"/>
      <c r="R106" s="289"/>
      <c r="S106" s="289"/>
      <c r="T106" s="289"/>
      <c r="U106" s="289"/>
      <c r="V106" s="289"/>
      <c r="W106" s="289"/>
      <c r="X106" s="289"/>
      <c r="Y106" s="289"/>
      <c r="Z106" s="289"/>
      <c r="AA106" s="289"/>
      <c r="AB106" s="289"/>
      <c r="AC106" s="289"/>
      <c r="AD106" s="289"/>
      <c r="AE106" s="289"/>
      <c r="AF106" s="289"/>
      <c r="AG106" s="289"/>
      <c r="AH106" s="289"/>
      <c r="AI106" s="289"/>
      <c r="AJ106" s="289"/>
      <c r="AK106" s="289"/>
      <c r="AL106" s="289"/>
      <c r="AM106" s="289"/>
      <c r="AN106" s="289"/>
      <c r="AO106" s="289"/>
      <c r="AP106" s="289"/>
      <c r="AQ106" s="289"/>
      <c r="AR106" s="289"/>
      <c r="AS106" s="289"/>
      <c r="AT106" s="289"/>
      <c r="AU106" s="289"/>
      <c r="AV106" s="289"/>
      <c r="AW106" s="289"/>
      <c r="AX106" s="289"/>
      <c r="AY106" s="289"/>
      <c r="AZ106" s="289"/>
      <c r="BA106" s="289"/>
      <c r="BB106" s="289"/>
      <c r="BC106" s="289"/>
      <c r="BD106" s="289"/>
      <c r="BE106" s="289"/>
      <c r="BF106" s="289"/>
      <c r="BG106" s="289"/>
      <c r="BH106" s="289"/>
      <c r="BI106" s="289"/>
      <c r="BJ106" s="289"/>
      <c r="BK106" s="289"/>
      <c r="BL106" s="289"/>
      <c r="BM106" s="289"/>
      <c r="BN106" s="289"/>
      <c r="BO106" s="289"/>
      <c r="BP106" s="289"/>
      <c r="BQ106" s="289"/>
      <c r="BR106" s="289"/>
      <c r="BS106" s="289"/>
      <c r="BT106" s="289"/>
      <c r="BU106" s="289"/>
      <c r="BV106" s="289"/>
    </row>
    <row r="107" spans="2:74" x14ac:dyDescent="0.2">
      <c r="B107" s="210"/>
      <c r="C107" s="203"/>
      <c r="D107" s="203"/>
      <c r="E107" s="288"/>
      <c r="F107" s="289"/>
      <c r="G107" s="289"/>
      <c r="H107" s="289"/>
      <c r="I107" s="289"/>
      <c r="J107" s="289"/>
      <c r="K107" s="289"/>
      <c r="L107" s="289"/>
      <c r="M107" s="289"/>
      <c r="N107" s="289"/>
      <c r="O107" s="289"/>
      <c r="P107" s="289"/>
      <c r="Q107" s="289"/>
      <c r="R107" s="289"/>
      <c r="S107" s="289"/>
      <c r="T107" s="289"/>
      <c r="U107" s="289"/>
      <c r="V107" s="289"/>
      <c r="W107" s="289"/>
      <c r="X107" s="289"/>
      <c r="Y107" s="289"/>
      <c r="Z107" s="289"/>
      <c r="AA107" s="289"/>
      <c r="AB107" s="289"/>
      <c r="AC107" s="289"/>
      <c r="AD107" s="289"/>
      <c r="AE107" s="289"/>
      <c r="AF107" s="289"/>
      <c r="AG107" s="289"/>
      <c r="AH107" s="289"/>
      <c r="AI107" s="289"/>
      <c r="AJ107" s="289"/>
      <c r="AK107" s="289"/>
      <c r="AL107" s="289"/>
      <c r="AM107" s="289"/>
      <c r="AN107" s="289"/>
      <c r="AO107" s="289"/>
      <c r="AP107" s="289"/>
      <c r="AQ107" s="289"/>
      <c r="AR107" s="289"/>
      <c r="AS107" s="289"/>
      <c r="AT107" s="289"/>
      <c r="AU107" s="289"/>
      <c r="AV107" s="289"/>
      <c r="AW107" s="289"/>
      <c r="AX107" s="289"/>
      <c r="AY107" s="289"/>
      <c r="AZ107" s="289"/>
      <c r="BA107" s="289"/>
      <c r="BB107" s="289"/>
      <c r="BC107" s="289"/>
      <c r="BD107" s="289"/>
      <c r="BE107" s="289"/>
      <c r="BF107" s="289"/>
      <c r="BG107" s="289"/>
      <c r="BH107" s="289"/>
      <c r="BI107" s="289"/>
      <c r="BJ107" s="289"/>
      <c r="BK107" s="289"/>
      <c r="BL107" s="289"/>
      <c r="BM107" s="289"/>
      <c r="BN107" s="289"/>
      <c r="BO107" s="289"/>
      <c r="BP107" s="289"/>
      <c r="BQ107" s="289"/>
      <c r="BR107" s="289"/>
      <c r="BS107" s="289"/>
      <c r="BT107" s="289"/>
      <c r="BU107" s="289"/>
      <c r="BV107" s="289"/>
    </row>
    <row r="108" spans="2:74" x14ac:dyDescent="0.2">
      <c r="B108" s="210"/>
      <c r="C108" s="203"/>
      <c r="D108" s="203"/>
      <c r="E108" s="288"/>
      <c r="F108" s="289"/>
      <c r="G108" s="289"/>
      <c r="H108" s="289"/>
      <c r="I108" s="289"/>
      <c r="J108" s="289"/>
      <c r="K108" s="289"/>
      <c r="L108" s="289"/>
      <c r="M108" s="289"/>
      <c r="N108" s="289"/>
      <c r="O108" s="289"/>
      <c r="P108" s="289"/>
      <c r="Q108" s="289"/>
      <c r="R108" s="289"/>
      <c r="S108" s="289"/>
      <c r="T108" s="289"/>
      <c r="U108" s="289"/>
      <c r="V108" s="289"/>
      <c r="W108" s="289"/>
      <c r="X108" s="289"/>
      <c r="Y108" s="289"/>
      <c r="Z108" s="289"/>
      <c r="AA108" s="289"/>
      <c r="AB108" s="289"/>
      <c r="AC108" s="289"/>
      <c r="AD108" s="289"/>
      <c r="AE108" s="289"/>
      <c r="AF108" s="289"/>
      <c r="AG108" s="289"/>
      <c r="AH108" s="289"/>
      <c r="AI108" s="289"/>
      <c r="AJ108" s="289"/>
      <c r="AK108" s="289"/>
      <c r="AL108" s="289"/>
      <c r="AM108" s="289"/>
      <c r="AN108" s="289"/>
      <c r="AO108" s="289"/>
      <c r="AP108" s="289"/>
      <c r="AQ108" s="289"/>
      <c r="AR108" s="289"/>
      <c r="AS108" s="289"/>
      <c r="AT108" s="289"/>
      <c r="AU108" s="289"/>
      <c r="AV108" s="289"/>
      <c r="AW108" s="289"/>
      <c r="AX108" s="289"/>
      <c r="AY108" s="289"/>
      <c r="AZ108" s="289"/>
      <c r="BA108" s="289"/>
      <c r="BB108" s="289"/>
      <c r="BC108" s="289"/>
      <c r="BD108" s="289"/>
      <c r="BE108" s="289"/>
      <c r="BF108" s="289"/>
      <c r="BG108" s="289"/>
      <c r="BH108" s="289"/>
      <c r="BI108" s="289"/>
      <c r="BJ108" s="289"/>
      <c r="BK108" s="289"/>
      <c r="BL108" s="289"/>
      <c r="BM108" s="289"/>
      <c r="BN108" s="289"/>
      <c r="BO108" s="289"/>
      <c r="BP108" s="289"/>
      <c r="BQ108" s="289"/>
      <c r="BR108" s="289"/>
      <c r="BS108" s="289"/>
      <c r="BT108" s="289"/>
      <c r="BU108" s="289"/>
      <c r="BV108" s="289"/>
    </row>
    <row r="109" spans="2:74" x14ac:dyDescent="0.2">
      <c r="B109" s="210"/>
      <c r="C109" s="203"/>
      <c r="D109" s="203"/>
      <c r="E109" s="288"/>
      <c r="F109" s="289"/>
      <c r="G109" s="289"/>
      <c r="H109" s="289"/>
      <c r="I109" s="289"/>
      <c r="J109" s="289"/>
      <c r="K109" s="289"/>
      <c r="L109" s="289"/>
      <c r="M109" s="289"/>
      <c r="N109" s="289"/>
      <c r="O109" s="289"/>
      <c r="P109" s="289"/>
      <c r="Q109" s="289"/>
      <c r="R109" s="289"/>
      <c r="S109" s="289"/>
      <c r="T109" s="289"/>
      <c r="U109" s="289"/>
      <c r="V109" s="289"/>
      <c r="W109" s="289"/>
      <c r="X109" s="289"/>
      <c r="Y109" s="289"/>
      <c r="Z109" s="289"/>
      <c r="AA109" s="289"/>
      <c r="AB109" s="289"/>
      <c r="AC109" s="289"/>
      <c r="AD109" s="289"/>
      <c r="AE109" s="289"/>
      <c r="AF109" s="289"/>
      <c r="AG109" s="289"/>
      <c r="AH109" s="289"/>
      <c r="AI109" s="289"/>
      <c r="AJ109" s="289"/>
      <c r="AK109" s="289"/>
      <c r="AL109" s="289"/>
      <c r="AM109" s="289"/>
      <c r="AN109" s="289"/>
      <c r="AO109" s="289"/>
      <c r="AP109" s="289"/>
      <c r="AQ109" s="289"/>
      <c r="AR109" s="289"/>
      <c r="AS109" s="289"/>
      <c r="AT109" s="289"/>
      <c r="AU109" s="289"/>
      <c r="AV109" s="289"/>
      <c r="AW109" s="289"/>
      <c r="AX109" s="289"/>
      <c r="AY109" s="289"/>
      <c r="AZ109" s="289"/>
      <c r="BA109" s="289"/>
      <c r="BB109" s="289"/>
      <c r="BC109" s="289"/>
      <c r="BD109" s="289"/>
      <c r="BE109" s="289"/>
      <c r="BF109" s="289"/>
      <c r="BG109" s="289"/>
      <c r="BH109" s="289"/>
      <c r="BI109" s="289"/>
      <c r="BJ109" s="289"/>
      <c r="BK109" s="289"/>
      <c r="BL109" s="289"/>
      <c r="BM109" s="289"/>
      <c r="BN109" s="289"/>
      <c r="BO109" s="289"/>
      <c r="BP109" s="289"/>
      <c r="BQ109" s="289"/>
      <c r="BR109" s="289"/>
      <c r="BS109" s="289"/>
      <c r="BT109" s="289"/>
      <c r="BU109" s="289"/>
      <c r="BV109" s="289"/>
    </row>
    <row r="110" spans="2:74" x14ac:dyDescent="0.2">
      <c r="B110" s="210"/>
      <c r="C110" s="203"/>
      <c r="D110" s="203"/>
      <c r="E110" s="288"/>
      <c r="F110" s="289"/>
      <c r="G110" s="289"/>
      <c r="H110" s="289"/>
      <c r="I110" s="289"/>
      <c r="J110" s="289"/>
      <c r="K110" s="289"/>
      <c r="L110" s="289"/>
      <c r="M110" s="289"/>
      <c r="N110" s="289"/>
      <c r="O110" s="289"/>
      <c r="P110" s="289"/>
      <c r="Q110" s="289"/>
      <c r="R110" s="289"/>
      <c r="S110" s="289"/>
      <c r="T110" s="289"/>
      <c r="U110" s="289"/>
      <c r="V110" s="289"/>
      <c r="W110" s="289"/>
      <c r="X110" s="289"/>
      <c r="Y110" s="289"/>
      <c r="Z110" s="289"/>
      <c r="AA110" s="289"/>
      <c r="AB110" s="289"/>
      <c r="AC110" s="289"/>
      <c r="AD110" s="289"/>
      <c r="AE110" s="289"/>
      <c r="AF110" s="289"/>
      <c r="AG110" s="289"/>
      <c r="AH110" s="289"/>
      <c r="AI110" s="289"/>
      <c r="AJ110" s="289"/>
      <c r="AK110" s="289"/>
      <c r="AL110" s="289"/>
      <c r="AM110" s="289"/>
      <c r="AN110" s="289"/>
      <c r="AO110" s="289"/>
      <c r="AP110" s="289"/>
      <c r="AQ110" s="289"/>
      <c r="AR110" s="289"/>
      <c r="AS110" s="289"/>
      <c r="AT110" s="289"/>
      <c r="AU110" s="289"/>
      <c r="AV110" s="289"/>
      <c r="AW110" s="289"/>
      <c r="AX110" s="289"/>
      <c r="AY110" s="289"/>
      <c r="AZ110" s="289"/>
      <c r="BA110" s="289"/>
      <c r="BB110" s="289"/>
      <c r="BC110" s="289"/>
      <c r="BD110" s="289"/>
      <c r="BE110" s="289"/>
      <c r="BF110" s="289"/>
      <c r="BG110" s="289"/>
      <c r="BH110" s="289"/>
      <c r="BI110" s="289"/>
      <c r="BJ110" s="289"/>
      <c r="BK110" s="289"/>
      <c r="BL110" s="289"/>
      <c r="BM110" s="289"/>
      <c r="BN110" s="289"/>
      <c r="BO110" s="289"/>
      <c r="BP110" s="289"/>
      <c r="BQ110" s="289"/>
      <c r="BR110" s="289"/>
      <c r="BS110" s="289"/>
      <c r="BT110" s="289"/>
      <c r="BU110" s="289"/>
      <c r="BV110" s="289"/>
    </row>
    <row r="111" spans="2:74" x14ac:dyDescent="0.2">
      <c r="B111" s="210"/>
      <c r="C111" s="203"/>
      <c r="D111" s="203"/>
      <c r="E111" s="288"/>
      <c r="F111" s="289"/>
      <c r="G111" s="289"/>
      <c r="H111" s="289"/>
      <c r="I111" s="289"/>
      <c r="J111" s="289"/>
      <c r="K111" s="289"/>
      <c r="L111" s="289"/>
      <c r="M111" s="289"/>
      <c r="N111" s="289"/>
      <c r="O111" s="289"/>
      <c r="P111" s="289"/>
      <c r="Q111" s="289"/>
      <c r="R111" s="289"/>
      <c r="S111" s="289"/>
      <c r="T111" s="289"/>
      <c r="U111" s="289"/>
      <c r="V111" s="289"/>
      <c r="W111" s="289"/>
      <c r="X111" s="289"/>
      <c r="Y111" s="289"/>
      <c r="Z111" s="289"/>
      <c r="AA111" s="289"/>
      <c r="AB111" s="289"/>
      <c r="AC111" s="289"/>
      <c r="AD111" s="289"/>
      <c r="AE111" s="289"/>
      <c r="AF111" s="289"/>
      <c r="AG111" s="289"/>
      <c r="AH111" s="289"/>
      <c r="AI111" s="289"/>
      <c r="AJ111" s="289"/>
      <c r="AK111" s="289"/>
      <c r="AL111" s="289"/>
      <c r="AM111" s="289"/>
      <c r="AN111" s="289"/>
      <c r="AO111" s="289"/>
      <c r="AP111" s="289"/>
      <c r="AQ111" s="289"/>
      <c r="AR111" s="289"/>
      <c r="AS111" s="289"/>
      <c r="AT111" s="289"/>
      <c r="AU111" s="289"/>
      <c r="AV111" s="289"/>
      <c r="AW111" s="289"/>
      <c r="AX111" s="289"/>
      <c r="AY111" s="289"/>
      <c r="AZ111" s="289"/>
      <c r="BA111" s="289"/>
      <c r="BB111" s="289"/>
      <c r="BC111" s="289"/>
      <c r="BD111" s="289"/>
      <c r="BE111" s="289"/>
      <c r="BF111" s="289"/>
      <c r="BG111" s="289"/>
      <c r="BH111" s="289"/>
      <c r="BI111" s="289"/>
      <c r="BJ111" s="289"/>
      <c r="BK111" s="289"/>
      <c r="BL111" s="289"/>
      <c r="BM111" s="289"/>
      <c r="BN111" s="289"/>
      <c r="BO111" s="289"/>
      <c r="BP111" s="289"/>
      <c r="BQ111" s="289"/>
      <c r="BR111" s="289"/>
      <c r="BS111" s="289"/>
      <c r="BT111" s="289"/>
      <c r="BU111" s="289"/>
      <c r="BV111" s="289"/>
    </row>
    <row r="112" spans="2:74" x14ac:dyDescent="0.2">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row>
    <row r="126" spans="2:74" x14ac:dyDescent="0.2">
      <c r="E126" s="262"/>
      <c r="F126" s="262"/>
      <c r="G126" s="262"/>
      <c r="H126" s="262"/>
      <c r="I126" s="262"/>
      <c r="J126" s="262"/>
      <c r="K126" s="262"/>
      <c r="L126" s="262"/>
      <c r="M126" s="262"/>
      <c r="N126" s="262"/>
      <c r="O126" s="262"/>
      <c r="P126" s="262"/>
      <c r="Q126" s="262"/>
      <c r="R126" s="262"/>
      <c r="S126" s="262"/>
      <c r="T126" s="262"/>
      <c r="U126" s="262"/>
      <c r="V126" s="262"/>
      <c r="W126" s="262"/>
      <c r="X126" s="262"/>
      <c r="Y126" s="262"/>
      <c r="Z126" s="262"/>
      <c r="AA126" s="262"/>
      <c r="AB126" s="262"/>
      <c r="AC126" s="262"/>
      <c r="AD126" s="262"/>
      <c r="AE126" s="262"/>
      <c r="AF126" s="262"/>
      <c r="AG126" s="262"/>
      <c r="AH126" s="262"/>
      <c r="AI126" s="262"/>
      <c r="AJ126" s="262"/>
      <c r="AK126" s="262"/>
      <c r="AL126" s="262"/>
      <c r="AM126" s="262"/>
      <c r="AN126" s="262"/>
      <c r="AO126" s="262"/>
      <c r="AP126" s="262"/>
      <c r="AQ126" s="262"/>
      <c r="AR126" s="262"/>
      <c r="AS126" s="262"/>
      <c r="AT126" s="262"/>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row>
    <row r="127" spans="2:74" x14ac:dyDescent="0.2">
      <c r="E127" s="262"/>
      <c r="F127" s="262"/>
      <c r="G127" s="262"/>
      <c r="H127" s="262"/>
      <c r="I127" s="262"/>
      <c r="J127" s="262"/>
      <c r="K127" s="262"/>
      <c r="L127" s="262"/>
      <c r="M127" s="262"/>
      <c r="N127" s="262"/>
      <c r="O127" s="262"/>
      <c r="P127" s="262"/>
      <c r="Q127" s="262"/>
      <c r="R127" s="262"/>
      <c r="S127" s="262"/>
      <c r="T127" s="262"/>
      <c r="U127" s="262"/>
      <c r="V127" s="262"/>
      <c r="W127" s="262"/>
      <c r="X127" s="262"/>
      <c r="Y127" s="262"/>
      <c r="Z127" s="262"/>
      <c r="AA127" s="262"/>
      <c r="AB127" s="262"/>
      <c r="AC127" s="262"/>
      <c r="AD127" s="262"/>
      <c r="AE127" s="262"/>
      <c r="AF127" s="262"/>
      <c r="AG127" s="262"/>
      <c r="AH127" s="262"/>
      <c r="AI127" s="262"/>
      <c r="AJ127" s="262"/>
      <c r="AK127" s="262"/>
      <c r="AL127" s="262"/>
      <c r="AM127" s="262"/>
      <c r="AN127" s="262"/>
      <c r="AO127" s="262"/>
      <c r="AP127" s="262"/>
      <c r="AQ127" s="262"/>
      <c r="AR127" s="262"/>
      <c r="AS127" s="262"/>
      <c r="AT127" s="262"/>
      <c r="AU127" s="262"/>
      <c r="AV127" s="262"/>
      <c r="AW127" s="262"/>
      <c r="AX127" s="262"/>
      <c r="AY127" s="262"/>
      <c r="AZ127" s="262"/>
      <c r="BA127" s="262"/>
      <c r="BB127" s="262"/>
      <c r="BC127" s="262"/>
      <c r="BD127" s="262"/>
      <c r="BE127" s="262"/>
      <c r="BF127" s="262"/>
      <c r="BG127" s="262"/>
      <c r="BH127" s="262"/>
      <c r="BI127" s="262"/>
      <c r="BJ127" s="262"/>
      <c r="BK127" s="262"/>
      <c r="BL127" s="262"/>
      <c r="BM127" s="262"/>
      <c r="BN127" s="262"/>
      <c r="BO127" s="262"/>
      <c r="BP127" s="262"/>
      <c r="BQ127" s="262"/>
      <c r="BR127" s="262"/>
      <c r="BS127" s="262"/>
      <c r="BT127" s="262"/>
      <c r="BU127" s="262"/>
      <c r="BV127" s="262"/>
    </row>
    <row r="128" spans="2:74" x14ac:dyDescent="0.2">
      <c r="B128" s="210"/>
      <c r="C128" s="203"/>
      <c r="D128" s="203"/>
      <c r="E128" s="288"/>
      <c r="F128" s="289"/>
      <c r="G128" s="289"/>
      <c r="H128" s="289"/>
      <c r="I128" s="289"/>
      <c r="J128" s="289"/>
      <c r="K128" s="289"/>
      <c r="L128" s="289"/>
      <c r="M128" s="289"/>
      <c r="N128" s="289"/>
      <c r="O128" s="289"/>
      <c r="P128" s="289"/>
      <c r="Q128" s="289"/>
      <c r="R128" s="289"/>
      <c r="S128" s="289"/>
      <c r="T128" s="289"/>
      <c r="U128" s="289"/>
      <c r="V128" s="289"/>
      <c r="W128" s="289"/>
      <c r="X128" s="289"/>
      <c r="Y128" s="289"/>
      <c r="Z128" s="289"/>
      <c r="AA128" s="289"/>
      <c r="AB128" s="289"/>
      <c r="AC128" s="289"/>
      <c r="AD128" s="289"/>
      <c r="AE128" s="289"/>
      <c r="AF128" s="289"/>
      <c r="AG128" s="289"/>
      <c r="AH128" s="289"/>
      <c r="AI128" s="289"/>
      <c r="AJ128" s="289"/>
      <c r="AK128" s="289"/>
      <c r="AL128" s="289"/>
      <c r="AM128" s="289"/>
      <c r="AN128" s="289"/>
      <c r="AO128" s="289"/>
      <c r="AP128" s="289"/>
      <c r="AQ128" s="289"/>
      <c r="AR128" s="289"/>
      <c r="AS128" s="289"/>
      <c r="AT128" s="289"/>
      <c r="AU128" s="289"/>
      <c r="AV128" s="289"/>
      <c r="AW128" s="289"/>
      <c r="AX128" s="289"/>
      <c r="AY128" s="289"/>
      <c r="AZ128" s="289"/>
      <c r="BA128" s="289"/>
      <c r="BB128" s="289"/>
      <c r="BC128" s="289"/>
      <c r="BD128" s="289"/>
      <c r="BE128" s="289"/>
      <c r="BF128" s="289"/>
      <c r="BG128" s="289"/>
      <c r="BH128" s="289"/>
      <c r="BI128" s="289"/>
      <c r="BJ128" s="289"/>
      <c r="BK128" s="289"/>
      <c r="BL128" s="289"/>
      <c r="BM128" s="289"/>
      <c r="BN128" s="289"/>
      <c r="BO128" s="289"/>
      <c r="BP128" s="289"/>
      <c r="BQ128" s="289"/>
      <c r="BR128" s="289"/>
      <c r="BS128" s="289"/>
      <c r="BT128" s="289"/>
      <c r="BU128" s="289"/>
      <c r="BV128" s="289"/>
    </row>
    <row r="129" spans="2:74" x14ac:dyDescent="0.2">
      <c r="B129" s="210"/>
      <c r="C129" s="210"/>
      <c r="D129" s="210"/>
      <c r="E129" s="288"/>
      <c r="F129" s="289"/>
      <c r="G129" s="289"/>
      <c r="H129" s="289"/>
      <c r="I129" s="289"/>
      <c r="J129" s="289"/>
      <c r="K129" s="289"/>
      <c r="L129" s="289"/>
      <c r="M129" s="289"/>
      <c r="N129" s="289"/>
      <c r="O129" s="289"/>
      <c r="P129" s="289"/>
      <c r="Q129" s="289"/>
      <c r="R129" s="289"/>
      <c r="S129" s="289"/>
      <c r="T129" s="289"/>
      <c r="U129" s="289"/>
      <c r="V129" s="289"/>
      <c r="W129" s="289"/>
      <c r="X129" s="289"/>
      <c r="Y129" s="289"/>
      <c r="Z129" s="289"/>
      <c r="AA129" s="289"/>
      <c r="AB129" s="289"/>
      <c r="AC129" s="289"/>
      <c r="AD129" s="289"/>
      <c r="AE129" s="289"/>
      <c r="AF129" s="289"/>
      <c r="AG129" s="289"/>
      <c r="AH129" s="289"/>
      <c r="AI129" s="289"/>
      <c r="AJ129" s="289"/>
      <c r="AK129" s="289"/>
      <c r="AL129" s="289"/>
      <c r="AM129" s="289"/>
      <c r="AN129" s="289"/>
      <c r="AO129" s="289"/>
      <c r="AP129" s="289"/>
      <c r="AQ129" s="289"/>
      <c r="AR129" s="289"/>
      <c r="AS129" s="289"/>
      <c r="AT129" s="289"/>
      <c r="AU129" s="289"/>
      <c r="AV129" s="289"/>
      <c r="AW129" s="289"/>
      <c r="AX129" s="289"/>
      <c r="AY129" s="289"/>
      <c r="AZ129" s="289"/>
      <c r="BA129" s="289"/>
      <c r="BB129" s="289"/>
      <c r="BC129" s="289"/>
      <c r="BD129" s="289"/>
      <c r="BE129" s="289"/>
      <c r="BF129" s="289"/>
      <c r="BG129" s="289"/>
      <c r="BH129" s="289"/>
      <c r="BI129" s="289"/>
      <c r="BJ129" s="289"/>
      <c r="BK129" s="289"/>
      <c r="BL129" s="289"/>
      <c r="BM129" s="289"/>
      <c r="BN129" s="289"/>
      <c r="BO129" s="289"/>
      <c r="BP129" s="289"/>
      <c r="BQ129" s="289"/>
      <c r="BR129" s="289"/>
      <c r="BS129" s="289"/>
      <c r="BT129" s="289"/>
      <c r="BU129" s="289"/>
      <c r="BV129" s="289"/>
    </row>
    <row r="130" spans="2:74" x14ac:dyDescent="0.2">
      <c r="B130" s="210"/>
      <c r="C130" s="203"/>
      <c r="D130" s="203"/>
      <c r="E130" s="288"/>
      <c r="F130" s="289"/>
      <c r="G130" s="289"/>
      <c r="H130" s="289"/>
      <c r="I130" s="289"/>
      <c r="J130" s="289"/>
      <c r="K130" s="289"/>
      <c r="L130" s="289"/>
      <c r="M130" s="289"/>
      <c r="N130" s="289"/>
      <c r="O130" s="289"/>
      <c r="P130" s="289"/>
      <c r="Q130" s="289"/>
      <c r="R130" s="289"/>
      <c r="S130" s="289"/>
      <c r="T130" s="289"/>
      <c r="U130" s="289"/>
      <c r="V130" s="289"/>
      <c r="W130" s="289"/>
      <c r="X130" s="289"/>
      <c r="Y130" s="289"/>
      <c r="Z130" s="289"/>
      <c r="AA130" s="289"/>
      <c r="AB130" s="289"/>
      <c r="AC130" s="289"/>
      <c r="AD130" s="289"/>
      <c r="AE130" s="289"/>
      <c r="AF130" s="289"/>
      <c r="AG130" s="289"/>
      <c r="AH130" s="289"/>
      <c r="AI130" s="289"/>
      <c r="AJ130" s="289"/>
      <c r="AK130" s="289"/>
      <c r="AL130" s="289"/>
      <c r="AM130" s="289"/>
      <c r="AN130" s="289"/>
      <c r="AO130" s="289"/>
      <c r="AP130" s="289"/>
      <c r="AQ130" s="289"/>
      <c r="AR130" s="289"/>
      <c r="AS130" s="289"/>
      <c r="AT130" s="289"/>
      <c r="AU130" s="289"/>
      <c r="AV130" s="289"/>
      <c r="AW130" s="289"/>
      <c r="AX130" s="289"/>
      <c r="AY130" s="289"/>
      <c r="AZ130" s="289"/>
      <c r="BA130" s="289"/>
      <c r="BB130" s="289"/>
      <c r="BC130" s="289"/>
      <c r="BD130" s="289"/>
      <c r="BE130" s="289"/>
      <c r="BF130" s="289"/>
      <c r="BG130" s="289"/>
      <c r="BH130" s="289"/>
      <c r="BI130" s="289"/>
      <c r="BJ130" s="289"/>
      <c r="BK130" s="289"/>
      <c r="BL130" s="289"/>
      <c r="BM130" s="289"/>
      <c r="BN130" s="289"/>
      <c r="BO130" s="289"/>
      <c r="BP130" s="289"/>
      <c r="BQ130" s="289"/>
      <c r="BR130" s="289"/>
      <c r="BS130" s="289"/>
      <c r="BT130" s="289"/>
      <c r="BU130" s="289"/>
      <c r="BV130" s="289"/>
    </row>
    <row r="131" spans="2:74" x14ac:dyDescent="0.2">
      <c r="C131" s="203"/>
      <c r="D131" s="203"/>
      <c r="E131" s="288"/>
      <c r="F131" s="289"/>
      <c r="G131" s="289"/>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89"/>
      <c r="AY131" s="289"/>
      <c r="AZ131" s="289"/>
      <c r="BA131" s="289"/>
      <c r="BB131" s="289"/>
      <c r="BC131" s="289"/>
      <c r="BD131" s="289"/>
      <c r="BE131" s="289"/>
      <c r="BF131" s="289"/>
      <c r="BG131" s="289"/>
      <c r="BH131" s="289"/>
      <c r="BI131" s="289"/>
      <c r="BJ131" s="289"/>
      <c r="BK131" s="289"/>
      <c r="BL131" s="289"/>
      <c r="BM131" s="289"/>
      <c r="BN131" s="289"/>
      <c r="BO131" s="289"/>
      <c r="BP131" s="289"/>
      <c r="BQ131" s="289"/>
      <c r="BR131" s="289"/>
      <c r="BS131" s="289"/>
      <c r="BT131" s="289"/>
      <c r="BU131" s="289"/>
      <c r="BV131" s="289"/>
    </row>
    <row r="132" spans="2:74" x14ac:dyDescent="0.2">
      <c r="B132" s="210"/>
      <c r="C132" s="203"/>
      <c r="D132" s="203"/>
      <c r="E132" s="288"/>
      <c r="F132" s="289"/>
      <c r="G132" s="289"/>
      <c r="H132" s="289"/>
      <c r="I132" s="289"/>
      <c r="J132" s="289"/>
      <c r="K132" s="289"/>
      <c r="L132" s="289"/>
      <c r="M132" s="289"/>
      <c r="N132" s="289"/>
      <c r="O132" s="289"/>
      <c r="P132" s="289"/>
      <c r="Q132" s="289"/>
      <c r="R132" s="289"/>
      <c r="S132" s="289"/>
      <c r="T132" s="289"/>
      <c r="U132" s="289"/>
      <c r="V132" s="289"/>
      <c r="W132" s="289"/>
      <c r="X132" s="289"/>
      <c r="Y132" s="289"/>
      <c r="Z132" s="289"/>
      <c r="AA132" s="289"/>
      <c r="AB132" s="289"/>
      <c r="AC132" s="289"/>
      <c r="AD132" s="289"/>
      <c r="AE132" s="289"/>
      <c r="AF132" s="289"/>
      <c r="AG132" s="289"/>
      <c r="AH132" s="289"/>
      <c r="AI132" s="289"/>
      <c r="AJ132" s="289"/>
      <c r="AK132" s="289"/>
      <c r="AL132" s="289"/>
      <c r="AM132" s="289"/>
      <c r="AN132" s="289"/>
      <c r="AO132" s="289"/>
      <c r="AP132" s="289"/>
      <c r="AQ132" s="289"/>
      <c r="AR132" s="289"/>
      <c r="AS132" s="289"/>
      <c r="AT132" s="289"/>
      <c r="AU132" s="289"/>
      <c r="AV132" s="289"/>
      <c r="AW132" s="289"/>
      <c r="AX132" s="289"/>
      <c r="AY132" s="289"/>
      <c r="AZ132" s="289"/>
      <c r="BA132" s="289"/>
      <c r="BB132" s="289"/>
      <c r="BC132" s="289"/>
      <c r="BD132" s="289"/>
      <c r="BE132" s="289"/>
      <c r="BF132" s="289"/>
      <c r="BG132" s="289"/>
      <c r="BH132" s="289"/>
      <c r="BI132" s="289"/>
      <c r="BJ132" s="289"/>
      <c r="BK132" s="289"/>
      <c r="BL132" s="289"/>
      <c r="BM132" s="289"/>
      <c r="BN132" s="289"/>
      <c r="BO132" s="289"/>
      <c r="BP132" s="289"/>
      <c r="BQ132" s="289"/>
      <c r="BR132" s="289"/>
      <c r="BS132" s="289"/>
      <c r="BT132" s="289"/>
      <c r="BU132" s="289"/>
      <c r="BV132" s="289"/>
    </row>
    <row r="133" spans="2:74" x14ac:dyDescent="0.2">
      <c r="B133" s="210"/>
      <c r="C133" s="203"/>
      <c r="D133" s="203"/>
      <c r="E133" s="288"/>
      <c r="F133" s="289"/>
      <c r="G133" s="289"/>
      <c r="H133" s="289"/>
      <c r="I133" s="289"/>
      <c r="J133" s="289"/>
      <c r="K133" s="289"/>
      <c r="L133" s="289"/>
      <c r="M133" s="289"/>
      <c r="N133" s="289"/>
      <c r="O133" s="289"/>
      <c r="P133" s="289"/>
      <c r="Q133" s="289"/>
      <c r="R133" s="289"/>
      <c r="S133" s="289"/>
      <c r="T133" s="289"/>
      <c r="U133" s="289"/>
      <c r="V133" s="289"/>
      <c r="W133" s="289"/>
      <c r="X133" s="289"/>
      <c r="Y133" s="289"/>
      <c r="Z133" s="289"/>
      <c r="AA133" s="289"/>
      <c r="AB133" s="289"/>
      <c r="AC133" s="289"/>
      <c r="AD133" s="289"/>
      <c r="AE133" s="289"/>
      <c r="AF133" s="289"/>
      <c r="AG133" s="289"/>
      <c r="AH133" s="289"/>
      <c r="AI133" s="289"/>
      <c r="AJ133" s="289"/>
      <c r="AK133" s="289"/>
      <c r="AL133" s="289"/>
      <c r="AM133" s="289"/>
      <c r="AN133" s="289"/>
      <c r="AO133" s="289"/>
      <c r="AP133" s="289"/>
      <c r="AQ133" s="289"/>
      <c r="AR133" s="289"/>
      <c r="AS133" s="289"/>
      <c r="AT133" s="289"/>
      <c r="AU133" s="289"/>
      <c r="AV133" s="289"/>
      <c r="AW133" s="289"/>
      <c r="AX133" s="289"/>
      <c r="AY133" s="289"/>
      <c r="AZ133" s="289"/>
      <c r="BA133" s="289"/>
      <c r="BB133" s="289"/>
      <c r="BC133" s="289"/>
      <c r="BD133" s="289"/>
      <c r="BE133" s="289"/>
      <c r="BF133" s="289"/>
      <c r="BG133" s="289"/>
      <c r="BH133" s="289"/>
      <c r="BI133" s="289"/>
      <c r="BJ133" s="289"/>
      <c r="BK133" s="289"/>
      <c r="BL133" s="289"/>
      <c r="BM133" s="289"/>
      <c r="BN133" s="289"/>
      <c r="BO133" s="289"/>
      <c r="BP133" s="289"/>
      <c r="BQ133" s="289"/>
      <c r="BR133" s="289"/>
      <c r="BS133" s="289"/>
      <c r="BT133" s="289"/>
      <c r="BU133" s="289"/>
      <c r="BV133" s="289"/>
    </row>
    <row r="134" spans="2:74" x14ac:dyDescent="0.2">
      <c r="B134" s="210"/>
      <c r="C134" s="203"/>
      <c r="D134" s="203"/>
      <c r="E134" s="288"/>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9"/>
      <c r="AV134" s="289"/>
      <c r="AW134" s="289"/>
      <c r="AX134" s="289"/>
      <c r="AY134" s="289"/>
      <c r="AZ134" s="289"/>
      <c r="BA134" s="289"/>
      <c r="BB134" s="289"/>
      <c r="BC134" s="289"/>
      <c r="BD134" s="289"/>
      <c r="BE134" s="289"/>
      <c r="BF134" s="289"/>
      <c r="BG134" s="289"/>
      <c r="BH134" s="289"/>
      <c r="BI134" s="289"/>
      <c r="BJ134" s="289"/>
      <c r="BK134" s="289"/>
      <c r="BL134" s="289"/>
      <c r="BM134" s="289"/>
      <c r="BN134" s="289"/>
      <c r="BO134" s="289"/>
      <c r="BP134" s="289"/>
      <c r="BQ134" s="289"/>
      <c r="BR134" s="289"/>
      <c r="BS134" s="289"/>
      <c r="BT134" s="289"/>
      <c r="BU134" s="289"/>
      <c r="BV134" s="289"/>
    </row>
    <row r="135" spans="2:74" x14ac:dyDescent="0.2">
      <c r="B135" s="210"/>
      <c r="C135" s="203"/>
      <c r="D135" s="203"/>
      <c r="E135" s="288"/>
      <c r="F135" s="289"/>
      <c r="G135" s="289"/>
      <c r="H135" s="289"/>
      <c r="I135" s="289"/>
      <c r="J135" s="289"/>
      <c r="K135" s="289"/>
      <c r="L135" s="289"/>
      <c r="M135" s="289"/>
      <c r="N135" s="289"/>
      <c r="O135" s="289"/>
      <c r="P135" s="289"/>
      <c r="Q135" s="289"/>
      <c r="R135" s="289"/>
      <c r="S135" s="289"/>
      <c r="T135" s="289"/>
      <c r="U135" s="289"/>
      <c r="V135" s="289"/>
      <c r="W135" s="289"/>
      <c r="X135" s="289"/>
      <c r="Y135" s="289"/>
      <c r="Z135" s="289"/>
      <c r="AA135" s="289"/>
      <c r="AB135" s="289"/>
      <c r="AC135" s="289"/>
      <c r="AD135" s="289"/>
      <c r="AE135" s="289"/>
      <c r="AF135" s="289"/>
      <c r="AG135" s="289"/>
      <c r="AH135" s="289"/>
      <c r="AI135" s="289"/>
      <c r="AJ135" s="289"/>
      <c r="AK135" s="289"/>
      <c r="AL135" s="289"/>
      <c r="AM135" s="289"/>
      <c r="AN135" s="289"/>
      <c r="AO135" s="289"/>
      <c r="AP135" s="289"/>
      <c r="AQ135" s="289"/>
      <c r="AR135" s="289"/>
      <c r="AS135" s="289"/>
      <c r="AT135" s="289"/>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row>
    <row r="136" spans="2:74" x14ac:dyDescent="0.2">
      <c r="B136" s="210"/>
      <c r="C136" s="203"/>
      <c r="D136" s="203"/>
      <c r="E136" s="288"/>
      <c r="F136" s="289"/>
      <c r="G136" s="289"/>
      <c r="H136" s="289"/>
      <c r="I136" s="289"/>
      <c r="J136" s="289"/>
      <c r="K136" s="289"/>
      <c r="L136" s="289"/>
      <c r="M136" s="289"/>
      <c r="N136" s="289"/>
      <c r="O136" s="289"/>
      <c r="P136" s="289"/>
      <c r="Q136" s="289"/>
      <c r="R136" s="289"/>
      <c r="S136" s="289"/>
      <c r="T136" s="289"/>
      <c r="U136" s="289"/>
      <c r="V136" s="289"/>
      <c r="W136" s="289"/>
      <c r="X136" s="289"/>
      <c r="Y136" s="289"/>
      <c r="Z136" s="289"/>
      <c r="AA136" s="289"/>
      <c r="AB136" s="289"/>
      <c r="AC136" s="289"/>
      <c r="AD136" s="289"/>
      <c r="AE136" s="289"/>
      <c r="AF136" s="289"/>
      <c r="AG136" s="289"/>
      <c r="AH136" s="289"/>
      <c r="AI136" s="289"/>
      <c r="AJ136" s="289"/>
      <c r="AK136" s="289"/>
      <c r="AL136" s="289"/>
      <c r="AM136" s="289"/>
      <c r="AN136" s="289"/>
      <c r="AO136" s="289"/>
      <c r="AP136" s="289"/>
      <c r="AQ136" s="289"/>
      <c r="AR136" s="289"/>
      <c r="AS136" s="289"/>
      <c r="AT136" s="289"/>
      <c r="AU136" s="289"/>
      <c r="AV136" s="289"/>
      <c r="AW136" s="289"/>
      <c r="AX136" s="289"/>
      <c r="AY136" s="289"/>
      <c r="AZ136" s="289"/>
      <c r="BA136" s="289"/>
      <c r="BB136" s="289"/>
      <c r="BC136" s="289"/>
      <c r="BD136" s="289"/>
      <c r="BE136" s="289"/>
      <c r="BF136" s="289"/>
      <c r="BG136" s="289"/>
      <c r="BH136" s="289"/>
      <c r="BI136" s="289"/>
      <c r="BJ136" s="289"/>
      <c r="BK136" s="289"/>
      <c r="BL136" s="289"/>
      <c r="BM136" s="289"/>
      <c r="BN136" s="289"/>
      <c r="BO136" s="289"/>
      <c r="BP136" s="289"/>
      <c r="BQ136" s="289"/>
      <c r="BR136" s="289"/>
      <c r="BS136" s="289"/>
      <c r="BT136" s="289"/>
      <c r="BU136" s="289"/>
      <c r="BV136" s="289"/>
    </row>
    <row r="137" spans="2:74" x14ac:dyDescent="0.2">
      <c r="B137" s="210"/>
      <c r="C137" s="203"/>
      <c r="D137" s="203"/>
      <c r="E137" s="288"/>
      <c r="F137" s="289"/>
      <c r="G137" s="289"/>
      <c r="H137" s="289"/>
      <c r="I137" s="289"/>
      <c r="J137" s="289"/>
      <c r="K137" s="289"/>
      <c r="L137" s="289"/>
      <c r="M137" s="289"/>
      <c r="N137" s="289"/>
      <c r="O137" s="289"/>
      <c r="P137" s="289"/>
      <c r="Q137" s="289"/>
      <c r="R137" s="289"/>
      <c r="S137" s="289"/>
      <c r="T137" s="289"/>
      <c r="U137" s="289"/>
      <c r="V137" s="289"/>
      <c r="W137" s="289"/>
      <c r="X137" s="289"/>
      <c r="Y137" s="289"/>
      <c r="Z137" s="289"/>
      <c r="AA137" s="289"/>
      <c r="AB137" s="289"/>
      <c r="AC137" s="289"/>
      <c r="AD137" s="289"/>
      <c r="AE137" s="289"/>
      <c r="AF137" s="289"/>
      <c r="AG137" s="289"/>
      <c r="AH137" s="289"/>
      <c r="AI137" s="289"/>
      <c r="AJ137" s="289"/>
      <c r="AK137" s="289"/>
      <c r="AL137" s="289"/>
      <c r="AM137" s="289"/>
      <c r="AN137" s="289"/>
      <c r="AO137" s="289"/>
      <c r="AP137" s="289"/>
      <c r="AQ137" s="289"/>
      <c r="AR137" s="289"/>
      <c r="AS137" s="289"/>
      <c r="AT137" s="289"/>
      <c r="AU137" s="289"/>
      <c r="AV137" s="289"/>
      <c r="AW137" s="289"/>
      <c r="AX137" s="289"/>
      <c r="AY137" s="289"/>
      <c r="AZ137" s="289"/>
      <c r="BA137" s="289"/>
      <c r="BB137" s="289"/>
      <c r="BC137" s="289"/>
      <c r="BD137" s="289"/>
      <c r="BE137" s="289"/>
      <c r="BF137" s="289"/>
      <c r="BG137" s="289"/>
      <c r="BH137" s="289"/>
      <c r="BI137" s="289"/>
      <c r="BJ137" s="289"/>
      <c r="BK137" s="289"/>
      <c r="BL137" s="289"/>
      <c r="BM137" s="289"/>
      <c r="BN137" s="289"/>
      <c r="BO137" s="289"/>
      <c r="BP137" s="289"/>
      <c r="BQ137" s="289"/>
      <c r="BR137" s="289"/>
      <c r="BS137" s="289"/>
      <c r="BT137" s="289"/>
      <c r="BU137" s="289"/>
      <c r="BV137" s="289"/>
    </row>
    <row r="138" spans="2:74" x14ac:dyDescent="0.2">
      <c r="B138" s="210"/>
      <c r="C138" s="203"/>
      <c r="D138" s="203"/>
      <c r="E138" s="288"/>
      <c r="F138" s="289"/>
      <c r="G138" s="289"/>
      <c r="H138" s="289"/>
      <c r="I138" s="289"/>
      <c r="J138" s="289"/>
      <c r="K138" s="289"/>
      <c r="L138" s="289"/>
      <c r="M138" s="289"/>
      <c r="N138" s="289"/>
      <c r="O138" s="289"/>
      <c r="P138" s="289"/>
      <c r="Q138" s="289"/>
      <c r="R138" s="289"/>
      <c r="S138" s="289"/>
      <c r="T138" s="289"/>
      <c r="U138" s="289"/>
      <c r="V138" s="289"/>
      <c r="W138" s="289"/>
      <c r="X138" s="289"/>
      <c r="Y138" s="289"/>
      <c r="Z138" s="289"/>
      <c r="AA138" s="289"/>
      <c r="AB138" s="289"/>
      <c r="AC138" s="289"/>
      <c r="AD138" s="289"/>
      <c r="AE138" s="289"/>
      <c r="AF138" s="289"/>
      <c r="AG138" s="289"/>
      <c r="AH138" s="289"/>
      <c r="AI138" s="289"/>
      <c r="AJ138" s="289"/>
      <c r="AK138" s="289"/>
      <c r="AL138" s="289"/>
      <c r="AM138" s="289"/>
      <c r="AN138" s="289"/>
      <c r="AO138" s="289"/>
      <c r="AP138" s="289"/>
      <c r="AQ138" s="289"/>
      <c r="AR138" s="289"/>
      <c r="AS138" s="289"/>
      <c r="AT138" s="289"/>
      <c r="AU138" s="289"/>
      <c r="AV138" s="289"/>
      <c r="AW138" s="289"/>
      <c r="AX138" s="289"/>
      <c r="AY138" s="289"/>
      <c r="AZ138" s="289"/>
      <c r="BA138" s="289"/>
      <c r="BB138" s="289"/>
      <c r="BC138" s="289"/>
      <c r="BD138" s="289"/>
      <c r="BE138" s="289"/>
      <c r="BF138" s="289"/>
      <c r="BG138" s="289"/>
      <c r="BH138" s="289"/>
      <c r="BI138" s="289"/>
      <c r="BJ138" s="289"/>
      <c r="BK138" s="289"/>
      <c r="BL138" s="289"/>
      <c r="BM138" s="289"/>
      <c r="BN138" s="289"/>
      <c r="BO138" s="289"/>
      <c r="BP138" s="289"/>
      <c r="BQ138" s="289"/>
      <c r="BR138" s="289"/>
      <c r="BS138" s="289"/>
      <c r="BT138" s="289"/>
      <c r="BU138" s="289"/>
      <c r="BV138" s="289"/>
    </row>
    <row r="139" spans="2:74" x14ac:dyDescent="0.2">
      <c r="B139" s="210"/>
      <c r="C139" s="203"/>
      <c r="D139" s="203"/>
      <c r="E139" s="288"/>
      <c r="F139" s="289"/>
      <c r="G139" s="289"/>
      <c r="H139" s="289"/>
      <c r="I139" s="289"/>
      <c r="J139" s="289"/>
      <c r="K139" s="289"/>
      <c r="L139" s="289"/>
      <c r="M139" s="289"/>
      <c r="N139" s="289"/>
      <c r="O139" s="289"/>
      <c r="P139" s="289"/>
      <c r="Q139" s="289"/>
      <c r="R139" s="289"/>
      <c r="S139" s="289"/>
      <c r="T139" s="289"/>
      <c r="U139" s="289"/>
      <c r="V139" s="289"/>
      <c r="W139" s="289"/>
      <c r="X139" s="289"/>
      <c r="Y139" s="289"/>
      <c r="Z139" s="289"/>
      <c r="AA139" s="289"/>
      <c r="AB139" s="289"/>
      <c r="AC139" s="289"/>
      <c r="AD139" s="289"/>
      <c r="AE139" s="289"/>
      <c r="AF139" s="289"/>
      <c r="AG139" s="289"/>
      <c r="AH139" s="289"/>
      <c r="AI139" s="289"/>
      <c r="AJ139" s="289"/>
      <c r="AK139" s="289"/>
      <c r="AL139" s="289"/>
      <c r="AM139" s="289"/>
      <c r="AN139" s="289"/>
      <c r="AO139" s="289"/>
      <c r="AP139" s="289"/>
      <c r="AQ139" s="289"/>
      <c r="AR139" s="289"/>
      <c r="AS139" s="289"/>
      <c r="AT139" s="289"/>
      <c r="AU139" s="289"/>
      <c r="AV139" s="289"/>
      <c r="AW139" s="289"/>
      <c r="AX139" s="289"/>
      <c r="AY139" s="289"/>
      <c r="AZ139" s="289"/>
      <c r="BA139" s="289"/>
      <c r="BB139" s="289"/>
      <c r="BC139" s="289"/>
      <c r="BD139" s="289"/>
      <c r="BE139" s="289"/>
      <c r="BF139" s="289"/>
      <c r="BG139" s="289"/>
      <c r="BH139" s="289"/>
      <c r="BI139" s="289"/>
      <c r="BJ139" s="289"/>
      <c r="BK139" s="289"/>
      <c r="BL139" s="289"/>
      <c r="BM139" s="289"/>
      <c r="BN139" s="289"/>
      <c r="BO139" s="289"/>
      <c r="BP139" s="289"/>
      <c r="BQ139" s="289"/>
      <c r="BR139" s="289"/>
      <c r="BS139" s="289"/>
      <c r="BT139" s="289"/>
      <c r="BU139" s="289"/>
      <c r="BV139" s="289"/>
    </row>
    <row r="140" spans="2:74" x14ac:dyDescent="0.2">
      <c r="B140" s="210"/>
      <c r="C140" s="203"/>
      <c r="D140" s="203"/>
      <c r="E140" s="288"/>
      <c r="F140" s="289"/>
      <c r="G140" s="289"/>
      <c r="H140" s="289"/>
      <c r="I140" s="289"/>
      <c r="J140" s="289"/>
      <c r="K140" s="289"/>
      <c r="L140" s="289"/>
      <c r="M140" s="289"/>
      <c r="N140" s="289"/>
      <c r="O140" s="289"/>
      <c r="P140" s="289"/>
      <c r="Q140" s="289"/>
      <c r="R140" s="289"/>
      <c r="S140" s="289"/>
      <c r="T140" s="289"/>
      <c r="U140" s="289"/>
      <c r="V140" s="289"/>
      <c r="W140" s="289"/>
      <c r="X140" s="289"/>
      <c r="Y140" s="289"/>
      <c r="Z140" s="289"/>
      <c r="AA140" s="289"/>
      <c r="AB140" s="289"/>
      <c r="AC140" s="289"/>
      <c r="AD140" s="289"/>
      <c r="AE140" s="289"/>
      <c r="AF140" s="289"/>
      <c r="AG140" s="289"/>
      <c r="AH140" s="289"/>
      <c r="AI140" s="289"/>
      <c r="AJ140" s="289"/>
      <c r="AK140" s="289"/>
      <c r="AL140" s="289"/>
      <c r="AM140" s="289"/>
      <c r="AN140" s="289"/>
      <c r="AO140" s="289"/>
      <c r="AP140" s="289"/>
      <c r="AQ140" s="289"/>
      <c r="AR140" s="289"/>
      <c r="AS140" s="289"/>
      <c r="AT140" s="289"/>
      <c r="AU140" s="289"/>
      <c r="AV140" s="289"/>
      <c r="AW140" s="289"/>
      <c r="AX140" s="289"/>
      <c r="AY140" s="289"/>
      <c r="AZ140" s="289"/>
      <c r="BA140" s="289"/>
      <c r="BB140" s="289"/>
      <c r="BC140" s="289"/>
      <c r="BD140" s="289"/>
      <c r="BE140" s="289"/>
      <c r="BF140" s="289"/>
      <c r="BG140" s="289"/>
      <c r="BH140" s="289"/>
      <c r="BI140" s="289"/>
      <c r="BJ140" s="289"/>
      <c r="BK140" s="289"/>
      <c r="BL140" s="289"/>
      <c r="BM140" s="289"/>
      <c r="BN140" s="289"/>
      <c r="BO140" s="289"/>
      <c r="BP140" s="289"/>
      <c r="BQ140" s="289"/>
      <c r="BR140" s="289"/>
      <c r="BS140" s="289"/>
      <c r="BT140" s="289"/>
      <c r="BU140" s="289"/>
      <c r="BV140" s="289"/>
    </row>
    <row r="141" spans="2:74" x14ac:dyDescent="0.2">
      <c r="B141" s="210"/>
      <c r="C141" s="210"/>
      <c r="D141" s="210"/>
      <c r="E141" s="288"/>
      <c r="F141" s="289"/>
      <c r="G141" s="289"/>
      <c r="H141" s="289"/>
      <c r="I141" s="289"/>
      <c r="J141" s="289"/>
      <c r="K141" s="289"/>
      <c r="L141" s="289"/>
      <c r="M141" s="289"/>
      <c r="N141" s="289"/>
      <c r="O141" s="289"/>
      <c r="P141" s="289"/>
      <c r="Q141" s="289"/>
      <c r="R141" s="289"/>
      <c r="S141" s="289"/>
      <c r="T141" s="289"/>
      <c r="U141" s="289"/>
      <c r="V141" s="289"/>
      <c r="W141" s="289"/>
      <c r="X141" s="289"/>
      <c r="Y141" s="289"/>
      <c r="Z141" s="289"/>
      <c r="AA141" s="289"/>
      <c r="AB141" s="289"/>
      <c r="AC141" s="289"/>
      <c r="AD141" s="289"/>
      <c r="AE141" s="289"/>
      <c r="AF141" s="289"/>
      <c r="AG141" s="289"/>
      <c r="AH141" s="289"/>
      <c r="AI141" s="289"/>
      <c r="AJ141" s="289"/>
      <c r="AK141" s="289"/>
      <c r="AL141" s="289"/>
      <c r="AM141" s="289"/>
      <c r="AN141" s="289"/>
      <c r="AO141" s="289"/>
      <c r="AP141" s="289"/>
      <c r="AQ141" s="289"/>
      <c r="AR141" s="289"/>
      <c r="AS141" s="289"/>
      <c r="AT141" s="289"/>
      <c r="AU141" s="289"/>
      <c r="AV141" s="289"/>
      <c r="AW141" s="289"/>
      <c r="AX141" s="289"/>
      <c r="AY141" s="289"/>
      <c r="AZ141" s="289"/>
      <c r="BA141" s="289"/>
      <c r="BB141" s="289"/>
      <c r="BC141" s="289"/>
      <c r="BD141" s="289"/>
      <c r="BE141" s="289"/>
      <c r="BF141" s="289"/>
      <c r="BG141" s="289"/>
      <c r="BH141" s="289"/>
      <c r="BI141" s="289"/>
      <c r="BJ141" s="289"/>
      <c r="BK141" s="289"/>
      <c r="BL141" s="289"/>
      <c r="BM141" s="289"/>
      <c r="BN141" s="289"/>
      <c r="BO141" s="289"/>
      <c r="BP141" s="289"/>
      <c r="BQ141" s="289"/>
      <c r="BR141" s="289"/>
      <c r="BS141" s="289"/>
      <c r="BT141" s="289"/>
      <c r="BU141" s="289"/>
      <c r="BV141" s="289"/>
    </row>
    <row r="142" spans="2:74" x14ac:dyDescent="0.2">
      <c r="B142" s="210"/>
      <c r="C142" s="203"/>
      <c r="D142" s="203"/>
      <c r="E142" s="288"/>
      <c r="F142" s="289"/>
      <c r="G142" s="289"/>
      <c r="H142" s="289"/>
      <c r="I142" s="289"/>
      <c r="J142" s="289"/>
      <c r="K142" s="289"/>
      <c r="L142" s="289"/>
      <c r="M142" s="289"/>
      <c r="N142" s="289"/>
      <c r="O142" s="289"/>
      <c r="P142" s="289"/>
      <c r="Q142" s="289"/>
      <c r="R142" s="289"/>
      <c r="S142" s="289"/>
      <c r="T142" s="289"/>
      <c r="U142" s="289"/>
      <c r="V142" s="289"/>
      <c r="W142" s="289"/>
      <c r="X142" s="289"/>
      <c r="Y142" s="289"/>
      <c r="Z142" s="289"/>
      <c r="AA142" s="289"/>
      <c r="AB142" s="289"/>
      <c r="AC142" s="289"/>
      <c r="AD142" s="289"/>
      <c r="AE142" s="289"/>
      <c r="AF142" s="289"/>
      <c r="AG142" s="289"/>
      <c r="AH142" s="289"/>
      <c r="AI142" s="289"/>
      <c r="AJ142" s="289"/>
      <c r="AK142" s="289"/>
      <c r="AL142" s="289"/>
      <c r="AM142" s="289"/>
      <c r="AN142" s="289"/>
      <c r="AO142" s="289"/>
      <c r="AP142" s="289"/>
      <c r="AQ142" s="289"/>
      <c r="AR142" s="289"/>
      <c r="AS142" s="289"/>
      <c r="AT142" s="289"/>
      <c r="AU142" s="289"/>
      <c r="AV142" s="289"/>
      <c r="AW142" s="289"/>
      <c r="AX142" s="289"/>
      <c r="AY142" s="289"/>
      <c r="AZ142" s="289"/>
      <c r="BA142" s="289"/>
      <c r="BB142" s="289"/>
      <c r="BC142" s="289"/>
      <c r="BD142" s="289"/>
      <c r="BE142" s="289"/>
      <c r="BF142" s="289"/>
      <c r="BG142" s="289"/>
      <c r="BH142" s="289"/>
      <c r="BI142" s="289"/>
      <c r="BJ142" s="289"/>
      <c r="BK142" s="289"/>
      <c r="BL142" s="289"/>
      <c r="BM142" s="289"/>
      <c r="BN142" s="289"/>
      <c r="BO142" s="289"/>
      <c r="BP142" s="289"/>
      <c r="BQ142" s="289"/>
      <c r="BR142" s="289"/>
      <c r="BS142" s="289"/>
      <c r="BT142" s="289"/>
      <c r="BU142" s="289"/>
      <c r="BV142" s="289"/>
    </row>
    <row r="143" spans="2:74" x14ac:dyDescent="0.2">
      <c r="B143" s="210"/>
      <c r="C143" s="203"/>
      <c r="D143" s="203"/>
      <c r="E143" s="288"/>
      <c r="F143" s="289"/>
      <c r="G143" s="289"/>
      <c r="H143" s="289"/>
      <c r="I143" s="289"/>
      <c r="J143" s="289"/>
      <c r="K143" s="289"/>
      <c r="L143" s="289"/>
      <c r="M143" s="289"/>
      <c r="N143" s="289"/>
      <c r="O143" s="289"/>
      <c r="P143" s="289"/>
      <c r="Q143" s="289"/>
      <c r="R143" s="289"/>
      <c r="S143" s="289"/>
      <c r="T143" s="289"/>
      <c r="U143" s="289"/>
      <c r="V143" s="289"/>
      <c r="W143" s="289"/>
      <c r="X143" s="289"/>
      <c r="Y143" s="289"/>
      <c r="Z143" s="289"/>
      <c r="AA143" s="289"/>
      <c r="AB143" s="289"/>
      <c r="AC143" s="289"/>
      <c r="AD143" s="289"/>
      <c r="AE143" s="289"/>
      <c r="AF143" s="289"/>
      <c r="AG143" s="289"/>
      <c r="AH143" s="289"/>
      <c r="AI143" s="289"/>
      <c r="AJ143" s="289"/>
      <c r="AK143" s="289"/>
      <c r="AL143" s="289"/>
      <c r="AM143" s="289"/>
      <c r="AN143" s="289"/>
      <c r="AO143" s="289"/>
      <c r="AP143" s="289"/>
      <c r="AQ143" s="289"/>
      <c r="AR143" s="289"/>
      <c r="AS143" s="289"/>
      <c r="AT143" s="289"/>
      <c r="AU143" s="289"/>
      <c r="AV143" s="289"/>
      <c r="AW143" s="289"/>
      <c r="AX143" s="289"/>
      <c r="AY143" s="289"/>
      <c r="AZ143" s="289"/>
      <c r="BA143" s="289"/>
      <c r="BB143" s="289"/>
      <c r="BC143" s="289"/>
      <c r="BD143" s="289"/>
      <c r="BE143" s="289"/>
      <c r="BF143" s="289"/>
      <c r="BG143" s="289"/>
      <c r="BH143" s="289"/>
      <c r="BI143" s="289"/>
      <c r="BJ143" s="289"/>
      <c r="BK143" s="289"/>
      <c r="BL143" s="289"/>
      <c r="BM143" s="289"/>
      <c r="BN143" s="289"/>
      <c r="BO143" s="289"/>
      <c r="BP143" s="289"/>
      <c r="BQ143" s="289"/>
      <c r="BR143" s="289"/>
      <c r="BS143" s="289"/>
      <c r="BT143" s="289"/>
      <c r="BU143" s="289"/>
      <c r="BV143" s="289"/>
    </row>
    <row r="144" spans="2:74" x14ac:dyDescent="0.2">
      <c r="B144" s="210"/>
      <c r="C144" s="203"/>
      <c r="D144" s="203"/>
      <c r="E144" s="288"/>
      <c r="F144" s="289"/>
      <c r="G144" s="289"/>
      <c r="H144" s="289"/>
      <c r="I144" s="289"/>
      <c r="J144" s="289"/>
      <c r="K144" s="289"/>
      <c r="L144" s="289"/>
      <c r="M144" s="289"/>
      <c r="N144" s="289"/>
      <c r="O144" s="289"/>
      <c r="P144" s="289"/>
      <c r="Q144" s="289"/>
      <c r="R144" s="289"/>
      <c r="S144" s="289"/>
      <c r="T144" s="289"/>
      <c r="U144" s="289"/>
      <c r="V144" s="289"/>
      <c r="W144" s="289"/>
      <c r="X144" s="289"/>
      <c r="Y144" s="289"/>
      <c r="Z144" s="289"/>
      <c r="AA144" s="289"/>
      <c r="AB144" s="289"/>
      <c r="AC144" s="289"/>
      <c r="AD144" s="289"/>
      <c r="AE144" s="289"/>
      <c r="AF144" s="289"/>
      <c r="AG144" s="289"/>
      <c r="AH144" s="289"/>
      <c r="AI144" s="289"/>
      <c r="AJ144" s="289"/>
      <c r="AK144" s="289"/>
      <c r="AL144" s="289"/>
      <c r="AM144" s="289"/>
      <c r="AN144" s="289"/>
      <c r="AO144" s="289"/>
      <c r="AP144" s="289"/>
      <c r="AQ144" s="289"/>
      <c r="AR144" s="289"/>
      <c r="AS144" s="289"/>
      <c r="AT144" s="289"/>
      <c r="AU144" s="289"/>
      <c r="AV144" s="289"/>
      <c r="AW144" s="289"/>
      <c r="AX144" s="289"/>
      <c r="AY144" s="289"/>
      <c r="AZ144" s="289"/>
      <c r="BA144" s="289"/>
      <c r="BB144" s="289"/>
      <c r="BC144" s="289"/>
      <c r="BD144" s="289"/>
      <c r="BE144" s="289"/>
      <c r="BF144" s="289"/>
      <c r="BG144" s="289"/>
      <c r="BH144" s="289"/>
      <c r="BI144" s="289"/>
      <c r="BJ144" s="289"/>
      <c r="BK144" s="289"/>
      <c r="BL144" s="289"/>
      <c r="BM144" s="289"/>
      <c r="BN144" s="289"/>
      <c r="BO144" s="289"/>
      <c r="BP144" s="289"/>
      <c r="BQ144" s="289"/>
      <c r="BR144" s="289"/>
      <c r="BS144" s="289"/>
      <c r="BT144" s="289"/>
      <c r="BU144" s="289"/>
      <c r="BV144" s="289"/>
    </row>
    <row r="145" spans="2:74" x14ac:dyDescent="0.2">
      <c r="B145" s="210"/>
      <c r="C145" s="203"/>
      <c r="D145" s="203"/>
      <c r="E145" s="288"/>
      <c r="F145" s="289"/>
      <c r="G145" s="289"/>
      <c r="H145" s="289"/>
      <c r="I145" s="289"/>
      <c r="J145" s="289"/>
      <c r="K145" s="289"/>
      <c r="L145" s="289"/>
      <c r="M145" s="289"/>
      <c r="N145" s="289"/>
      <c r="O145" s="289"/>
      <c r="P145" s="289"/>
      <c r="Q145" s="289"/>
      <c r="R145" s="289"/>
      <c r="S145" s="289"/>
      <c r="T145" s="289"/>
      <c r="U145" s="289"/>
      <c r="V145" s="289"/>
      <c r="W145" s="289"/>
      <c r="X145" s="289"/>
      <c r="Y145" s="289"/>
      <c r="Z145" s="289"/>
      <c r="AA145" s="289"/>
      <c r="AB145" s="289"/>
      <c r="AC145" s="289"/>
      <c r="AD145" s="289"/>
      <c r="AE145" s="289"/>
      <c r="AF145" s="289"/>
      <c r="AG145" s="289"/>
      <c r="AH145" s="289"/>
      <c r="AI145" s="289"/>
      <c r="AJ145" s="289"/>
      <c r="AK145" s="289"/>
      <c r="AL145" s="289"/>
      <c r="AM145" s="289"/>
      <c r="AN145" s="289"/>
      <c r="AO145" s="289"/>
      <c r="AP145" s="289"/>
      <c r="AQ145" s="289"/>
      <c r="AR145" s="289"/>
      <c r="AS145" s="289"/>
      <c r="AT145" s="289"/>
      <c r="AU145" s="289"/>
      <c r="AV145" s="289"/>
      <c r="AW145" s="289"/>
      <c r="AX145" s="289"/>
      <c r="AY145" s="289"/>
      <c r="AZ145" s="289"/>
      <c r="BA145" s="289"/>
      <c r="BB145" s="289"/>
      <c r="BC145" s="289"/>
      <c r="BD145" s="289"/>
      <c r="BE145" s="289"/>
      <c r="BF145" s="289"/>
      <c r="BG145" s="289"/>
      <c r="BH145" s="289"/>
      <c r="BI145" s="289"/>
      <c r="BJ145" s="289"/>
      <c r="BK145" s="289"/>
      <c r="BL145" s="289"/>
      <c r="BM145" s="289"/>
      <c r="BN145" s="289"/>
      <c r="BO145" s="289"/>
      <c r="BP145" s="289"/>
      <c r="BQ145" s="289"/>
      <c r="BR145" s="289"/>
      <c r="BS145" s="289"/>
      <c r="BT145" s="289"/>
      <c r="BU145" s="289"/>
      <c r="BV145" s="289"/>
    </row>
    <row r="146" spans="2:74" x14ac:dyDescent="0.2">
      <c r="B146" s="210"/>
      <c r="C146" s="203"/>
      <c r="D146" s="203"/>
      <c r="E146" s="288"/>
      <c r="F146" s="289"/>
      <c r="G146" s="289"/>
      <c r="H146" s="289"/>
      <c r="I146" s="289"/>
      <c r="J146" s="289"/>
      <c r="K146" s="289"/>
      <c r="L146" s="289"/>
      <c r="M146" s="289"/>
      <c r="N146" s="289"/>
      <c r="O146" s="289"/>
      <c r="P146" s="289"/>
      <c r="Q146" s="289"/>
      <c r="R146" s="289"/>
      <c r="S146" s="289"/>
      <c r="T146" s="289"/>
      <c r="U146" s="289"/>
      <c r="V146" s="289"/>
      <c r="W146" s="289"/>
      <c r="X146" s="289"/>
      <c r="Y146" s="289"/>
      <c r="Z146" s="289"/>
      <c r="AA146" s="289"/>
      <c r="AB146" s="289"/>
      <c r="AC146" s="289"/>
      <c r="AD146" s="289"/>
      <c r="AE146" s="289"/>
      <c r="AF146" s="289"/>
      <c r="AG146" s="289"/>
      <c r="AH146" s="289"/>
      <c r="AI146" s="289"/>
      <c r="AJ146" s="289"/>
      <c r="AK146" s="289"/>
      <c r="AL146" s="289"/>
      <c r="AM146" s="289"/>
      <c r="AN146" s="289"/>
      <c r="AO146" s="289"/>
      <c r="AP146" s="289"/>
      <c r="AQ146" s="289"/>
      <c r="AR146" s="289"/>
      <c r="AS146" s="289"/>
      <c r="AT146" s="289"/>
      <c r="AU146" s="289"/>
      <c r="AV146" s="289"/>
      <c r="AW146" s="289"/>
      <c r="AX146" s="289"/>
      <c r="AY146" s="289"/>
      <c r="AZ146" s="289"/>
      <c r="BA146" s="289"/>
      <c r="BB146" s="289"/>
      <c r="BC146" s="289"/>
      <c r="BD146" s="289"/>
      <c r="BE146" s="289"/>
      <c r="BF146" s="289"/>
      <c r="BG146" s="289"/>
      <c r="BH146" s="289"/>
      <c r="BI146" s="289"/>
      <c r="BJ146" s="289"/>
      <c r="BK146" s="289"/>
      <c r="BL146" s="289"/>
      <c r="BM146" s="289"/>
      <c r="BN146" s="289"/>
      <c r="BO146" s="289"/>
      <c r="BP146" s="289"/>
      <c r="BQ146" s="289"/>
      <c r="BR146" s="289"/>
      <c r="BS146" s="289"/>
      <c r="BT146" s="289"/>
      <c r="BU146" s="289"/>
      <c r="BV146" s="289"/>
    </row>
    <row r="147" spans="2:74" x14ac:dyDescent="0.2">
      <c r="B147" s="210"/>
      <c r="C147" s="203"/>
      <c r="D147" s="203"/>
      <c r="E147" s="288"/>
      <c r="F147" s="289"/>
      <c r="G147" s="289"/>
      <c r="H147" s="289"/>
      <c r="I147" s="289"/>
      <c r="J147" s="289"/>
      <c r="K147" s="289"/>
      <c r="L147" s="289"/>
      <c r="M147" s="289"/>
      <c r="N147" s="289"/>
      <c r="O147" s="289"/>
      <c r="P147" s="289"/>
      <c r="Q147" s="289"/>
      <c r="R147" s="289"/>
      <c r="S147" s="289"/>
      <c r="T147" s="289"/>
      <c r="U147" s="289"/>
      <c r="V147" s="289"/>
      <c r="W147" s="289"/>
      <c r="X147" s="289"/>
      <c r="Y147" s="289"/>
      <c r="Z147" s="289"/>
      <c r="AA147" s="289"/>
      <c r="AB147" s="289"/>
      <c r="AC147" s="289"/>
      <c r="AD147" s="289"/>
      <c r="AE147" s="289"/>
      <c r="AF147" s="289"/>
      <c r="AG147" s="289"/>
      <c r="AH147" s="289"/>
      <c r="AI147" s="289"/>
      <c r="AJ147" s="289"/>
      <c r="AK147" s="289"/>
      <c r="AL147" s="289"/>
      <c r="AM147" s="289"/>
      <c r="AN147" s="289"/>
      <c r="AO147" s="289"/>
      <c r="AP147" s="289"/>
      <c r="AQ147" s="289"/>
      <c r="AR147" s="289"/>
      <c r="AS147" s="289"/>
      <c r="AT147" s="289"/>
      <c r="AU147" s="289"/>
      <c r="AV147" s="289"/>
      <c r="AW147" s="289"/>
      <c r="AX147" s="289"/>
      <c r="AY147" s="289"/>
      <c r="AZ147" s="289"/>
      <c r="BA147" s="289"/>
      <c r="BB147" s="289"/>
      <c r="BC147" s="289"/>
      <c r="BD147" s="289"/>
      <c r="BE147" s="289"/>
      <c r="BF147" s="289"/>
      <c r="BG147" s="289"/>
      <c r="BH147" s="289"/>
      <c r="BI147" s="289"/>
      <c r="BJ147" s="289"/>
      <c r="BK147" s="289"/>
      <c r="BL147" s="289"/>
      <c r="BM147" s="289"/>
      <c r="BN147" s="289"/>
      <c r="BO147" s="289"/>
      <c r="BP147" s="289"/>
      <c r="BQ147" s="289"/>
      <c r="BR147" s="289"/>
      <c r="BS147" s="289"/>
      <c r="BT147" s="289"/>
      <c r="BU147" s="289"/>
      <c r="BV147" s="289"/>
    </row>
    <row r="148" spans="2:74" x14ac:dyDescent="0.2">
      <c r="B148" s="210"/>
      <c r="C148" s="203"/>
      <c r="D148" s="203"/>
      <c r="E148" s="288"/>
      <c r="F148" s="289"/>
      <c r="G148" s="289"/>
      <c r="H148" s="289"/>
      <c r="I148" s="289"/>
      <c r="J148" s="289"/>
      <c r="K148" s="289"/>
      <c r="L148" s="289"/>
      <c r="M148" s="289"/>
      <c r="N148" s="289"/>
      <c r="O148" s="289"/>
      <c r="P148" s="289"/>
      <c r="Q148" s="289"/>
      <c r="R148" s="289"/>
      <c r="S148" s="289"/>
      <c r="T148" s="289"/>
      <c r="U148" s="289"/>
      <c r="V148" s="289"/>
      <c r="W148" s="289"/>
      <c r="X148" s="289"/>
      <c r="Y148" s="289"/>
      <c r="Z148" s="289"/>
      <c r="AA148" s="289"/>
      <c r="AB148" s="289"/>
      <c r="AC148" s="289"/>
      <c r="AD148" s="289"/>
      <c r="AE148" s="289"/>
      <c r="AF148" s="289"/>
      <c r="AG148" s="289"/>
      <c r="AH148" s="289"/>
      <c r="AI148" s="289"/>
      <c r="AJ148" s="289"/>
      <c r="AK148" s="289"/>
      <c r="AL148" s="289"/>
      <c r="AM148" s="289"/>
      <c r="AN148" s="289"/>
      <c r="AO148" s="289"/>
      <c r="AP148" s="289"/>
      <c r="AQ148" s="289"/>
      <c r="AR148" s="289"/>
      <c r="AS148" s="289"/>
      <c r="AT148" s="289"/>
      <c r="AU148" s="289"/>
      <c r="AV148" s="289"/>
      <c r="AW148" s="289"/>
      <c r="AX148" s="289"/>
      <c r="AY148" s="289"/>
      <c r="AZ148" s="289"/>
      <c r="BA148" s="289"/>
      <c r="BB148" s="289"/>
      <c r="BC148" s="289"/>
      <c r="BD148" s="289"/>
      <c r="BE148" s="289"/>
      <c r="BF148" s="289"/>
      <c r="BG148" s="289"/>
      <c r="BH148" s="289"/>
      <c r="BI148" s="289"/>
      <c r="BJ148" s="289"/>
      <c r="BK148" s="289"/>
      <c r="BL148" s="289"/>
      <c r="BM148" s="289"/>
      <c r="BN148" s="289"/>
      <c r="BO148" s="289"/>
      <c r="BP148" s="289"/>
      <c r="BQ148" s="289"/>
      <c r="BR148" s="289"/>
      <c r="BS148" s="289"/>
      <c r="BT148" s="289"/>
      <c r="BU148" s="289"/>
      <c r="BV148" s="289"/>
    </row>
    <row r="149" spans="2:74" x14ac:dyDescent="0.2">
      <c r="B149" s="210"/>
      <c r="C149" s="203"/>
      <c r="D149" s="203"/>
      <c r="E149" s="288"/>
      <c r="F149" s="289"/>
      <c r="G149" s="289"/>
      <c r="H149" s="289"/>
      <c r="I149" s="289"/>
      <c r="J149" s="289"/>
      <c r="K149" s="289"/>
      <c r="L149" s="289"/>
      <c r="M149" s="289"/>
      <c r="N149" s="289"/>
      <c r="O149" s="289"/>
      <c r="P149" s="289"/>
      <c r="Q149" s="289"/>
      <c r="R149" s="289"/>
      <c r="S149" s="289"/>
      <c r="T149" s="289"/>
      <c r="U149" s="289"/>
      <c r="V149" s="289"/>
      <c r="W149" s="289"/>
      <c r="X149" s="289"/>
      <c r="Y149" s="289"/>
      <c r="Z149" s="289"/>
      <c r="AA149" s="289"/>
      <c r="AB149" s="289"/>
      <c r="AC149" s="289"/>
      <c r="AD149" s="289"/>
      <c r="AE149" s="289"/>
      <c r="AF149" s="289"/>
      <c r="AG149" s="289"/>
      <c r="AH149" s="289"/>
      <c r="AI149" s="289"/>
      <c r="AJ149" s="289"/>
      <c r="AK149" s="289"/>
      <c r="AL149" s="289"/>
      <c r="AM149" s="289"/>
      <c r="AN149" s="289"/>
      <c r="AO149" s="289"/>
      <c r="AP149" s="289"/>
      <c r="AQ149" s="289"/>
      <c r="AR149" s="289"/>
      <c r="AS149" s="289"/>
      <c r="AT149" s="289"/>
      <c r="AU149" s="289"/>
      <c r="AV149" s="289"/>
      <c r="AW149" s="289"/>
      <c r="AX149" s="289"/>
      <c r="AY149" s="289"/>
      <c r="AZ149" s="289"/>
      <c r="BA149" s="289"/>
      <c r="BB149" s="289"/>
      <c r="BC149" s="289"/>
      <c r="BD149" s="289"/>
      <c r="BE149" s="289"/>
      <c r="BF149" s="289"/>
      <c r="BG149" s="289"/>
      <c r="BH149" s="289"/>
      <c r="BI149" s="289"/>
      <c r="BJ149" s="289"/>
      <c r="BK149" s="289"/>
      <c r="BL149" s="289"/>
      <c r="BM149" s="289"/>
      <c r="BN149" s="289"/>
      <c r="BO149" s="289"/>
      <c r="BP149" s="289"/>
      <c r="BQ149" s="289"/>
      <c r="BR149" s="289"/>
      <c r="BS149" s="289"/>
      <c r="BT149" s="289"/>
      <c r="BU149" s="289"/>
      <c r="BV149" s="289"/>
    </row>
    <row r="150" spans="2:74" x14ac:dyDescent="0.2">
      <c r="B150" s="210"/>
      <c r="C150" s="203"/>
      <c r="D150" s="203"/>
      <c r="E150" s="288"/>
      <c r="F150" s="289"/>
      <c r="G150" s="289"/>
      <c r="H150" s="289"/>
      <c r="I150" s="289"/>
      <c r="J150" s="289"/>
      <c r="K150" s="289"/>
      <c r="L150" s="289"/>
      <c r="M150" s="289"/>
      <c r="N150" s="289"/>
      <c r="O150" s="289"/>
      <c r="P150" s="289"/>
      <c r="Q150" s="289"/>
      <c r="R150" s="289"/>
      <c r="S150" s="289"/>
      <c r="T150" s="289"/>
      <c r="U150" s="289"/>
      <c r="V150" s="289"/>
      <c r="W150" s="289"/>
      <c r="X150" s="289"/>
      <c r="Y150" s="289"/>
      <c r="Z150" s="289"/>
      <c r="AA150" s="289"/>
      <c r="AB150" s="289"/>
      <c r="AC150" s="289"/>
      <c r="AD150" s="289"/>
      <c r="AE150" s="289"/>
      <c r="AF150" s="289"/>
      <c r="AG150" s="289"/>
      <c r="AH150" s="289"/>
      <c r="AI150" s="289"/>
      <c r="AJ150" s="289"/>
      <c r="AK150" s="289"/>
      <c r="AL150" s="289"/>
      <c r="AM150" s="289"/>
      <c r="AN150" s="289"/>
      <c r="AO150" s="289"/>
      <c r="AP150" s="289"/>
      <c r="AQ150" s="289"/>
      <c r="AR150" s="289"/>
      <c r="AS150" s="289"/>
      <c r="AT150" s="289"/>
      <c r="AU150" s="289"/>
      <c r="AV150" s="289"/>
      <c r="AW150" s="289"/>
      <c r="AX150" s="289"/>
      <c r="AY150" s="289"/>
      <c r="AZ150" s="289"/>
      <c r="BA150" s="289"/>
      <c r="BB150" s="289"/>
      <c r="BC150" s="289"/>
      <c r="BD150" s="289"/>
      <c r="BE150" s="289"/>
      <c r="BF150" s="289"/>
      <c r="BG150" s="289"/>
      <c r="BH150" s="289"/>
      <c r="BI150" s="289"/>
      <c r="BJ150" s="289"/>
      <c r="BK150" s="289"/>
      <c r="BL150" s="289"/>
      <c r="BM150" s="289"/>
      <c r="BN150" s="289"/>
      <c r="BO150" s="289"/>
      <c r="BP150" s="289"/>
      <c r="BQ150" s="289"/>
      <c r="BR150" s="289"/>
      <c r="BS150" s="289"/>
      <c r="BT150" s="289"/>
      <c r="BU150" s="289"/>
      <c r="BV150" s="289"/>
    </row>
    <row r="151" spans="2:74" x14ac:dyDescent="0.2">
      <c r="B151" s="210"/>
      <c r="C151" s="203"/>
      <c r="D151" s="203"/>
      <c r="E151" s="288"/>
      <c r="F151" s="289"/>
      <c r="G151" s="289"/>
      <c r="H151" s="289"/>
      <c r="I151" s="289"/>
      <c r="J151" s="289"/>
      <c r="K151" s="289"/>
      <c r="L151" s="289"/>
      <c r="M151" s="289"/>
      <c r="N151" s="289"/>
      <c r="O151" s="289"/>
      <c r="P151" s="289"/>
      <c r="Q151" s="289"/>
      <c r="R151" s="289"/>
      <c r="S151" s="289"/>
      <c r="T151" s="289"/>
      <c r="U151" s="289"/>
      <c r="V151" s="289"/>
      <c r="W151" s="289"/>
      <c r="X151" s="289"/>
      <c r="Y151" s="289"/>
      <c r="Z151" s="289"/>
      <c r="AA151" s="289"/>
      <c r="AB151" s="289"/>
      <c r="AC151" s="289"/>
      <c r="AD151" s="289"/>
      <c r="AE151" s="289"/>
      <c r="AF151" s="289"/>
      <c r="AG151" s="289"/>
      <c r="AH151" s="289"/>
      <c r="AI151" s="289"/>
      <c r="AJ151" s="289"/>
      <c r="AK151" s="289"/>
      <c r="AL151" s="289"/>
      <c r="AM151" s="289"/>
      <c r="AN151" s="289"/>
      <c r="AO151" s="289"/>
      <c r="AP151" s="289"/>
      <c r="AQ151" s="289"/>
      <c r="AR151" s="289"/>
      <c r="AS151" s="289"/>
      <c r="AT151" s="289"/>
      <c r="AU151" s="289"/>
      <c r="AV151" s="289"/>
      <c r="AW151" s="289"/>
      <c r="AX151" s="289"/>
      <c r="AY151" s="289"/>
      <c r="AZ151" s="289"/>
      <c r="BA151" s="289"/>
      <c r="BB151" s="289"/>
      <c r="BC151" s="289"/>
      <c r="BD151" s="289"/>
      <c r="BE151" s="289"/>
      <c r="BF151" s="289"/>
      <c r="BG151" s="289"/>
      <c r="BH151" s="289"/>
      <c r="BI151" s="289"/>
      <c r="BJ151" s="289"/>
      <c r="BK151" s="289"/>
      <c r="BL151" s="289"/>
      <c r="BM151" s="289"/>
      <c r="BN151" s="289"/>
      <c r="BO151" s="289"/>
      <c r="BP151" s="289"/>
      <c r="BQ151" s="289"/>
      <c r="BR151" s="289"/>
      <c r="BS151" s="289"/>
      <c r="BT151" s="289"/>
      <c r="BU151" s="289"/>
      <c r="BV151" s="289"/>
    </row>
    <row r="152" spans="2:74" x14ac:dyDescent="0.2">
      <c r="B152" s="210"/>
      <c r="C152" s="203"/>
      <c r="D152" s="203"/>
      <c r="E152" s="288"/>
      <c r="F152" s="289"/>
      <c r="G152" s="289"/>
      <c r="H152" s="289"/>
      <c r="I152" s="289"/>
      <c r="J152" s="289"/>
      <c r="K152" s="289"/>
      <c r="L152" s="289"/>
      <c r="M152" s="289"/>
      <c r="N152" s="289"/>
      <c r="O152" s="289"/>
      <c r="P152" s="289"/>
      <c r="Q152" s="289"/>
      <c r="R152" s="289"/>
      <c r="S152" s="289"/>
      <c r="T152" s="289"/>
      <c r="U152" s="289"/>
      <c r="V152" s="289"/>
      <c r="W152" s="289"/>
      <c r="X152" s="289"/>
      <c r="Y152" s="289"/>
      <c r="Z152" s="289"/>
      <c r="AA152" s="289"/>
      <c r="AB152" s="289"/>
      <c r="AC152" s="289"/>
      <c r="AD152" s="289"/>
      <c r="AE152" s="289"/>
      <c r="AF152" s="289"/>
      <c r="AG152" s="289"/>
      <c r="AH152" s="289"/>
      <c r="AI152" s="289"/>
      <c r="AJ152" s="289"/>
      <c r="AK152" s="289"/>
      <c r="AL152" s="289"/>
      <c r="AM152" s="289"/>
      <c r="AN152" s="289"/>
      <c r="AO152" s="289"/>
      <c r="AP152" s="289"/>
      <c r="AQ152" s="289"/>
      <c r="AR152" s="289"/>
      <c r="AS152" s="289"/>
      <c r="AT152" s="289"/>
      <c r="AU152" s="289"/>
      <c r="AV152" s="289"/>
      <c r="AW152" s="289"/>
      <c r="AX152" s="289"/>
      <c r="AY152" s="289"/>
      <c r="AZ152" s="289"/>
      <c r="BA152" s="289"/>
      <c r="BB152" s="289"/>
      <c r="BC152" s="289"/>
      <c r="BD152" s="289"/>
      <c r="BE152" s="289"/>
      <c r="BF152" s="289"/>
      <c r="BG152" s="289"/>
      <c r="BH152" s="289"/>
      <c r="BI152" s="289"/>
      <c r="BJ152" s="289"/>
      <c r="BK152" s="289"/>
      <c r="BL152" s="289"/>
      <c r="BM152" s="289"/>
      <c r="BN152" s="289"/>
      <c r="BO152" s="289"/>
      <c r="BP152" s="289"/>
      <c r="BQ152" s="289"/>
      <c r="BR152" s="289"/>
      <c r="BS152" s="289"/>
      <c r="BT152" s="289"/>
      <c r="BU152" s="289"/>
      <c r="BV152" s="289"/>
    </row>
    <row r="153" spans="2:74" x14ac:dyDescent="0.2">
      <c r="B153" s="210"/>
      <c r="C153" s="203"/>
      <c r="D153" s="203"/>
      <c r="E153" s="288"/>
      <c r="F153" s="289"/>
      <c r="G153" s="289"/>
      <c r="H153" s="289"/>
      <c r="I153" s="289"/>
      <c r="J153" s="289"/>
      <c r="K153" s="289"/>
      <c r="L153" s="289"/>
      <c r="M153" s="289"/>
      <c r="N153" s="289"/>
      <c r="O153" s="289"/>
      <c r="P153" s="289"/>
      <c r="Q153" s="289"/>
      <c r="R153" s="289"/>
      <c r="S153" s="289"/>
      <c r="T153" s="289"/>
      <c r="U153" s="289"/>
      <c r="V153" s="289"/>
      <c r="W153" s="289"/>
      <c r="X153" s="289"/>
      <c r="Y153" s="289"/>
      <c r="Z153" s="289"/>
      <c r="AA153" s="289"/>
      <c r="AB153" s="289"/>
      <c r="AC153" s="289"/>
      <c r="AD153" s="289"/>
      <c r="AE153" s="289"/>
      <c r="AF153" s="289"/>
      <c r="AG153" s="289"/>
      <c r="AH153" s="289"/>
      <c r="AI153" s="289"/>
      <c r="AJ153" s="289"/>
      <c r="AK153" s="289"/>
      <c r="AL153" s="289"/>
      <c r="AM153" s="289"/>
      <c r="AN153" s="289"/>
      <c r="AO153" s="289"/>
      <c r="AP153" s="289"/>
      <c r="AQ153" s="289"/>
      <c r="AR153" s="289"/>
      <c r="AS153" s="289"/>
      <c r="AT153" s="289"/>
      <c r="AU153" s="289"/>
      <c r="AV153" s="289"/>
      <c r="AW153" s="289"/>
      <c r="AX153" s="289"/>
      <c r="AY153" s="289"/>
      <c r="AZ153" s="289"/>
      <c r="BA153" s="289"/>
      <c r="BB153" s="289"/>
      <c r="BC153" s="289"/>
      <c r="BD153" s="289"/>
      <c r="BE153" s="289"/>
      <c r="BF153" s="289"/>
      <c r="BG153" s="289"/>
      <c r="BH153" s="289"/>
      <c r="BI153" s="289"/>
      <c r="BJ153" s="289"/>
      <c r="BK153" s="289"/>
      <c r="BL153" s="289"/>
      <c r="BM153" s="289"/>
      <c r="BN153" s="289"/>
      <c r="BO153" s="289"/>
      <c r="BP153" s="289"/>
      <c r="BQ153" s="289"/>
      <c r="BR153" s="289"/>
      <c r="BS153" s="289"/>
      <c r="BT153" s="289"/>
      <c r="BU153" s="289"/>
      <c r="BV153" s="289"/>
    </row>
    <row r="154" spans="2:74" x14ac:dyDescent="0.2">
      <c r="B154" s="210"/>
      <c r="C154" s="210"/>
      <c r="D154" s="210"/>
      <c r="E154" s="288"/>
      <c r="F154" s="289"/>
      <c r="G154" s="289"/>
      <c r="H154" s="289"/>
      <c r="I154" s="289"/>
      <c r="J154" s="289"/>
      <c r="K154" s="289"/>
      <c r="L154" s="289"/>
      <c r="M154" s="289"/>
      <c r="N154" s="289"/>
      <c r="O154" s="289"/>
      <c r="P154" s="289"/>
      <c r="Q154" s="289"/>
      <c r="R154" s="289"/>
      <c r="S154" s="289"/>
      <c r="T154" s="289"/>
      <c r="U154" s="289"/>
      <c r="V154" s="289"/>
      <c r="W154" s="289"/>
      <c r="X154" s="289"/>
      <c r="Y154" s="289"/>
      <c r="Z154" s="289"/>
      <c r="AA154" s="289"/>
      <c r="AB154" s="289"/>
      <c r="AC154" s="289"/>
      <c r="AD154" s="289"/>
      <c r="AE154" s="289"/>
      <c r="AF154" s="289"/>
      <c r="AG154" s="289"/>
      <c r="AH154" s="289"/>
      <c r="AI154" s="289"/>
      <c r="AJ154" s="289"/>
      <c r="AK154" s="289"/>
      <c r="AL154" s="289"/>
      <c r="AM154" s="289"/>
      <c r="AN154" s="289"/>
      <c r="AO154" s="289"/>
      <c r="AP154" s="289"/>
      <c r="AQ154" s="289"/>
      <c r="AR154" s="289"/>
      <c r="AS154" s="289"/>
      <c r="AT154" s="289"/>
      <c r="AU154" s="289"/>
      <c r="AV154" s="289"/>
      <c r="AW154" s="289"/>
      <c r="AX154" s="289"/>
      <c r="AY154" s="289"/>
      <c r="AZ154" s="289"/>
      <c r="BA154" s="289"/>
      <c r="BB154" s="289"/>
      <c r="BC154" s="289"/>
      <c r="BD154" s="289"/>
      <c r="BE154" s="289"/>
      <c r="BF154" s="289"/>
      <c r="BG154" s="289"/>
      <c r="BH154" s="289"/>
      <c r="BI154" s="289"/>
      <c r="BJ154" s="289"/>
      <c r="BK154" s="289"/>
      <c r="BL154" s="289"/>
      <c r="BM154" s="289"/>
      <c r="BN154" s="289"/>
      <c r="BO154" s="289"/>
      <c r="BP154" s="289"/>
      <c r="BQ154" s="289"/>
      <c r="BR154" s="289"/>
      <c r="BS154" s="289"/>
      <c r="BT154" s="289"/>
      <c r="BU154" s="289"/>
      <c r="BV154" s="289"/>
    </row>
    <row r="155" spans="2:74" x14ac:dyDescent="0.2">
      <c r="B155" s="210"/>
      <c r="C155" s="203"/>
      <c r="D155" s="203"/>
      <c r="E155" s="288"/>
      <c r="F155" s="289"/>
      <c r="G155" s="289"/>
      <c r="H155" s="289"/>
      <c r="I155" s="289"/>
      <c r="J155" s="289"/>
      <c r="K155" s="289"/>
      <c r="L155" s="289"/>
      <c r="M155" s="289"/>
      <c r="N155" s="289"/>
      <c r="O155" s="289"/>
      <c r="P155" s="289"/>
      <c r="Q155" s="289"/>
      <c r="R155" s="289"/>
      <c r="S155" s="289"/>
      <c r="T155" s="289"/>
      <c r="U155" s="289"/>
      <c r="V155" s="289"/>
      <c r="W155" s="289"/>
      <c r="X155" s="289"/>
      <c r="Y155" s="289"/>
      <c r="Z155" s="289"/>
      <c r="AA155" s="289"/>
      <c r="AB155" s="289"/>
      <c r="AC155" s="289"/>
      <c r="AD155" s="289"/>
      <c r="AE155" s="289"/>
      <c r="AF155" s="289"/>
      <c r="AG155" s="289"/>
      <c r="AH155" s="289"/>
      <c r="AI155" s="289"/>
      <c r="AJ155" s="289"/>
      <c r="AK155" s="289"/>
      <c r="AL155" s="289"/>
      <c r="AM155" s="289"/>
      <c r="AN155" s="289"/>
      <c r="AO155" s="289"/>
      <c r="AP155" s="289"/>
      <c r="AQ155" s="289"/>
      <c r="AR155" s="289"/>
      <c r="AS155" s="289"/>
      <c r="AT155" s="289"/>
      <c r="AU155" s="289"/>
      <c r="AV155" s="289"/>
      <c r="AW155" s="289"/>
      <c r="AX155" s="289"/>
      <c r="AY155" s="289"/>
      <c r="AZ155" s="289"/>
      <c r="BA155" s="289"/>
      <c r="BB155" s="289"/>
      <c r="BC155" s="289"/>
      <c r="BD155" s="289"/>
      <c r="BE155" s="289"/>
      <c r="BF155" s="289"/>
      <c r="BG155" s="289"/>
      <c r="BH155" s="289"/>
      <c r="BI155" s="289"/>
      <c r="BJ155" s="289"/>
      <c r="BK155" s="289"/>
      <c r="BL155" s="289"/>
      <c r="BM155" s="289"/>
      <c r="BN155" s="289"/>
      <c r="BO155" s="289"/>
      <c r="BP155" s="289"/>
      <c r="BQ155" s="289"/>
      <c r="BR155" s="289"/>
      <c r="BS155" s="289"/>
      <c r="BT155" s="289"/>
      <c r="BU155" s="289"/>
      <c r="BV155" s="289"/>
    </row>
    <row r="156" spans="2:74" x14ac:dyDescent="0.2">
      <c r="B156" s="210"/>
      <c r="C156" s="203"/>
      <c r="D156" s="203"/>
      <c r="E156" s="288"/>
      <c r="F156" s="289"/>
      <c r="G156" s="289"/>
      <c r="H156" s="289"/>
      <c r="I156" s="289"/>
      <c r="J156" s="289"/>
      <c r="K156" s="289"/>
      <c r="L156" s="289"/>
      <c r="M156" s="289"/>
      <c r="N156" s="289"/>
      <c r="O156" s="289"/>
      <c r="P156" s="289"/>
      <c r="Q156" s="289"/>
      <c r="R156" s="289"/>
      <c r="S156" s="289"/>
      <c r="T156" s="289"/>
      <c r="U156" s="289"/>
      <c r="V156" s="289"/>
      <c r="W156" s="289"/>
      <c r="X156" s="289"/>
      <c r="Y156" s="289"/>
      <c r="Z156" s="289"/>
      <c r="AA156" s="289"/>
      <c r="AB156" s="289"/>
      <c r="AC156" s="289"/>
      <c r="AD156" s="289"/>
      <c r="AE156" s="289"/>
      <c r="AF156" s="289"/>
      <c r="AG156" s="289"/>
      <c r="AH156" s="289"/>
      <c r="AI156" s="289"/>
      <c r="AJ156" s="289"/>
      <c r="AK156" s="289"/>
      <c r="AL156" s="289"/>
      <c r="AM156" s="289"/>
      <c r="AN156" s="289"/>
      <c r="AO156" s="289"/>
      <c r="AP156" s="289"/>
      <c r="AQ156" s="289"/>
      <c r="AR156" s="289"/>
      <c r="AS156" s="289"/>
      <c r="AT156" s="289"/>
      <c r="AU156" s="289"/>
      <c r="AV156" s="289"/>
      <c r="AW156" s="289"/>
      <c r="AX156" s="289"/>
      <c r="AY156" s="289"/>
      <c r="AZ156" s="289"/>
      <c r="BA156" s="289"/>
      <c r="BB156" s="289"/>
      <c r="BC156" s="289"/>
      <c r="BD156" s="289"/>
      <c r="BE156" s="289"/>
      <c r="BF156" s="289"/>
      <c r="BG156" s="289"/>
      <c r="BH156" s="289"/>
      <c r="BI156" s="289"/>
      <c r="BJ156" s="289"/>
      <c r="BK156" s="289"/>
      <c r="BL156" s="289"/>
      <c r="BM156" s="289"/>
      <c r="BN156" s="289"/>
      <c r="BO156" s="289"/>
      <c r="BP156" s="289"/>
      <c r="BQ156" s="289"/>
      <c r="BR156" s="289"/>
      <c r="BS156" s="289"/>
      <c r="BT156" s="289"/>
      <c r="BU156" s="289"/>
      <c r="BV156" s="289"/>
    </row>
    <row r="157" spans="2:74" x14ac:dyDescent="0.2">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row>
    <row r="158" spans="2:74" x14ac:dyDescent="0.2">
      <c r="B158" s="210"/>
      <c r="C158" s="203"/>
      <c r="D158" s="203"/>
      <c r="E158" s="288"/>
      <c r="F158" s="289"/>
      <c r="G158" s="289"/>
      <c r="H158" s="289"/>
      <c r="I158" s="289"/>
      <c r="J158" s="289"/>
      <c r="K158" s="289"/>
      <c r="L158" s="289"/>
      <c r="M158" s="289"/>
      <c r="N158" s="289"/>
      <c r="O158" s="289"/>
      <c r="P158" s="289"/>
      <c r="Q158" s="289"/>
      <c r="R158" s="289"/>
      <c r="S158" s="289"/>
      <c r="T158" s="289"/>
      <c r="U158" s="289"/>
      <c r="V158" s="289"/>
      <c r="W158" s="289"/>
      <c r="X158" s="289"/>
      <c r="Y158" s="289"/>
      <c r="Z158" s="289"/>
      <c r="AA158" s="289"/>
      <c r="AB158" s="289"/>
      <c r="AC158" s="289"/>
      <c r="AD158" s="289"/>
      <c r="AE158" s="289"/>
      <c r="AF158" s="289"/>
      <c r="AG158" s="289"/>
      <c r="AH158" s="289"/>
      <c r="AI158" s="289"/>
      <c r="AJ158" s="289"/>
      <c r="AK158" s="289"/>
      <c r="AL158" s="289"/>
      <c r="AM158" s="289"/>
      <c r="AN158" s="289"/>
      <c r="AO158" s="289"/>
      <c r="AP158" s="289"/>
      <c r="AQ158" s="289"/>
      <c r="AR158" s="289"/>
      <c r="AS158" s="289"/>
      <c r="AT158" s="289"/>
      <c r="AU158" s="289"/>
      <c r="AV158" s="289"/>
      <c r="AW158" s="289"/>
      <c r="AX158" s="289"/>
      <c r="AY158" s="289"/>
      <c r="AZ158" s="289"/>
      <c r="BA158" s="289"/>
      <c r="BB158" s="289"/>
      <c r="BC158" s="289"/>
      <c r="BD158" s="289"/>
      <c r="BE158" s="289"/>
      <c r="BF158" s="289"/>
      <c r="BG158" s="289"/>
      <c r="BH158" s="289"/>
      <c r="BI158" s="289"/>
      <c r="BJ158" s="289"/>
      <c r="BK158" s="289"/>
      <c r="BL158" s="289"/>
      <c r="BM158" s="289"/>
      <c r="BN158" s="289"/>
      <c r="BO158" s="289"/>
      <c r="BP158" s="289"/>
      <c r="BQ158" s="289"/>
      <c r="BR158" s="289"/>
      <c r="BS158" s="289"/>
      <c r="BT158" s="289"/>
      <c r="BU158" s="289"/>
      <c r="BV158" s="289"/>
    </row>
    <row r="159" spans="2:74" x14ac:dyDescent="0.2">
      <c r="B159" s="210"/>
      <c r="C159" s="203"/>
      <c r="D159" s="203"/>
      <c r="E159" s="288"/>
      <c r="F159" s="289"/>
      <c r="G159" s="289"/>
      <c r="H159" s="289"/>
      <c r="I159" s="289"/>
      <c r="J159" s="289"/>
      <c r="K159" s="289"/>
      <c r="L159" s="289"/>
      <c r="M159" s="289"/>
      <c r="N159" s="289"/>
      <c r="O159" s="289"/>
      <c r="P159" s="289"/>
      <c r="Q159" s="289"/>
      <c r="R159" s="289"/>
      <c r="S159" s="289"/>
      <c r="T159" s="289"/>
      <c r="U159" s="289"/>
      <c r="V159" s="289"/>
      <c r="W159" s="289"/>
      <c r="X159" s="289"/>
      <c r="Y159" s="289"/>
      <c r="Z159" s="289"/>
      <c r="AA159" s="289"/>
      <c r="AB159" s="289"/>
      <c r="AC159" s="289"/>
      <c r="AD159" s="289"/>
      <c r="AE159" s="289"/>
      <c r="AF159" s="289"/>
      <c r="AG159" s="289"/>
      <c r="AH159" s="289"/>
      <c r="AI159" s="289"/>
      <c r="AJ159" s="289"/>
      <c r="AK159" s="289"/>
      <c r="AL159" s="289"/>
      <c r="AM159" s="289"/>
      <c r="AN159" s="289"/>
      <c r="AO159" s="289"/>
      <c r="AP159" s="289"/>
      <c r="AQ159" s="289"/>
      <c r="AR159" s="289"/>
      <c r="AS159" s="289"/>
      <c r="AT159" s="289"/>
      <c r="AU159" s="289"/>
      <c r="AV159" s="289"/>
      <c r="AW159" s="289"/>
      <c r="AX159" s="289"/>
      <c r="AY159" s="289"/>
      <c r="AZ159" s="289"/>
      <c r="BA159" s="289"/>
      <c r="BB159" s="289"/>
      <c r="BC159" s="289"/>
      <c r="BD159" s="289"/>
      <c r="BE159" s="289"/>
      <c r="BF159" s="289"/>
      <c r="BG159" s="289"/>
      <c r="BH159" s="289"/>
      <c r="BI159" s="289"/>
      <c r="BJ159" s="289"/>
      <c r="BK159" s="289"/>
      <c r="BL159" s="289"/>
      <c r="BM159" s="289"/>
      <c r="BN159" s="289"/>
      <c r="BO159" s="289"/>
      <c r="BP159" s="289"/>
      <c r="BQ159" s="289"/>
      <c r="BR159" s="289"/>
      <c r="BS159" s="289"/>
      <c r="BT159" s="289"/>
      <c r="BU159" s="289"/>
      <c r="BV159" s="289"/>
    </row>
    <row r="160" spans="2:74" x14ac:dyDescent="0.2">
      <c r="B160" s="210"/>
      <c r="C160" s="203"/>
      <c r="D160" s="203"/>
      <c r="E160" s="288"/>
      <c r="F160" s="289"/>
      <c r="G160" s="289"/>
      <c r="H160" s="289"/>
      <c r="I160" s="289"/>
      <c r="J160" s="289"/>
      <c r="K160" s="289"/>
      <c r="L160" s="289"/>
      <c r="M160" s="289"/>
      <c r="N160" s="289"/>
      <c r="O160" s="289"/>
      <c r="P160" s="289"/>
      <c r="Q160" s="289"/>
      <c r="R160" s="289"/>
      <c r="S160" s="289"/>
      <c r="T160" s="289"/>
      <c r="U160" s="289"/>
      <c r="V160" s="289"/>
      <c r="W160" s="289"/>
      <c r="X160" s="289"/>
      <c r="Y160" s="289"/>
      <c r="Z160" s="289"/>
      <c r="AA160" s="289"/>
      <c r="AB160" s="289"/>
      <c r="AC160" s="289"/>
      <c r="AD160" s="289"/>
      <c r="AE160" s="289"/>
      <c r="AF160" s="289"/>
      <c r="AG160" s="289"/>
      <c r="AH160" s="289"/>
      <c r="AI160" s="289"/>
      <c r="AJ160" s="289"/>
      <c r="AK160" s="289"/>
      <c r="AL160" s="289"/>
      <c r="AM160" s="289"/>
      <c r="AN160" s="289"/>
      <c r="AO160" s="289"/>
      <c r="AP160" s="289"/>
      <c r="AQ160" s="289"/>
      <c r="AR160" s="289"/>
      <c r="AS160" s="289"/>
      <c r="AT160" s="289"/>
      <c r="AU160" s="289"/>
      <c r="AV160" s="289"/>
      <c r="AW160" s="289"/>
      <c r="AX160" s="289"/>
      <c r="AY160" s="289"/>
      <c r="AZ160" s="289"/>
      <c r="BA160" s="289"/>
      <c r="BB160" s="289"/>
      <c r="BC160" s="289"/>
      <c r="BD160" s="289"/>
      <c r="BE160" s="289"/>
      <c r="BF160" s="289"/>
      <c r="BG160" s="289"/>
      <c r="BH160" s="289"/>
      <c r="BI160" s="289"/>
      <c r="BJ160" s="289"/>
      <c r="BK160" s="289"/>
      <c r="BL160" s="289"/>
      <c r="BM160" s="289"/>
      <c r="BN160" s="289"/>
      <c r="BO160" s="289"/>
      <c r="BP160" s="289"/>
      <c r="BQ160" s="289"/>
      <c r="BR160" s="289"/>
      <c r="BS160" s="289"/>
      <c r="BT160" s="289"/>
      <c r="BU160" s="289"/>
      <c r="BV160" s="289"/>
    </row>
    <row r="161" spans="2:74" x14ac:dyDescent="0.2">
      <c r="B161" s="210"/>
      <c r="C161" s="203"/>
      <c r="D161" s="203"/>
      <c r="E161" s="288"/>
      <c r="F161" s="289"/>
      <c r="G161" s="289"/>
      <c r="H161" s="289"/>
      <c r="I161" s="289"/>
      <c r="J161" s="289"/>
      <c r="K161" s="289"/>
      <c r="L161" s="289"/>
      <c r="M161" s="289"/>
      <c r="N161" s="289"/>
      <c r="O161" s="289"/>
      <c r="P161" s="289"/>
      <c r="Q161" s="289"/>
      <c r="R161" s="289"/>
      <c r="S161" s="289"/>
      <c r="T161" s="289"/>
      <c r="U161" s="289"/>
      <c r="V161" s="289"/>
      <c r="W161" s="289"/>
      <c r="X161" s="289"/>
      <c r="Y161" s="289"/>
      <c r="Z161" s="289"/>
      <c r="AA161" s="289"/>
      <c r="AB161" s="289"/>
      <c r="AC161" s="289"/>
      <c r="AD161" s="289"/>
      <c r="AE161" s="289"/>
      <c r="AF161" s="289"/>
      <c r="AG161" s="289"/>
      <c r="AH161" s="289"/>
      <c r="AI161" s="289"/>
      <c r="AJ161" s="289"/>
      <c r="AK161" s="289"/>
      <c r="AL161" s="289"/>
      <c r="AM161" s="289"/>
      <c r="AN161" s="289"/>
      <c r="AO161" s="289"/>
      <c r="AP161" s="289"/>
      <c r="AQ161" s="289"/>
      <c r="AR161" s="289"/>
      <c r="AS161" s="289"/>
      <c r="AT161" s="289"/>
      <c r="AU161" s="289"/>
      <c r="AV161" s="289"/>
      <c r="AW161" s="289"/>
      <c r="AX161" s="289"/>
      <c r="AY161" s="289"/>
      <c r="AZ161" s="289"/>
      <c r="BA161" s="289"/>
      <c r="BB161" s="289"/>
      <c r="BC161" s="289"/>
      <c r="BD161" s="289"/>
      <c r="BE161" s="289"/>
      <c r="BF161" s="289"/>
      <c r="BG161" s="289"/>
      <c r="BH161" s="289"/>
      <c r="BI161" s="289"/>
      <c r="BJ161" s="289"/>
      <c r="BK161" s="289"/>
      <c r="BL161" s="289"/>
      <c r="BM161" s="289"/>
      <c r="BN161" s="289"/>
      <c r="BO161" s="289"/>
      <c r="BP161" s="289"/>
      <c r="BQ161" s="289"/>
      <c r="BR161" s="289"/>
      <c r="BS161" s="289"/>
      <c r="BT161" s="289"/>
      <c r="BU161" s="289"/>
      <c r="BV161" s="289"/>
    </row>
    <row r="162" spans="2:74" x14ac:dyDescent="0.2">
      <c r="B162" s="210"/>
      <c r="C162" s="203"/>
      <c r="D162" s="203"/>
      <c r="E162" s="288"/>
      <c r="F162" s="289"/>
      <c r="G162" s="289"/>
      <c r="H162" s="289"/>
      <c r="I162" s="289"/>
      <c r="J162" s="289"/>
      <c r="K162" s="289"/>
      <c r="L162" s="289"/>
      <c r="M162" s="289"/>
      <c r="N162" s="289"/>
      <c r="O162" s="289"/>
      <c r="P162" s="289"/>
      <c r="Q162" s="289"/>
      <c r="R162" s="289"/>
      <c r="S162" s="289"/>
      <c r="T162" s="289"/>
      <c r="U162" s="289"/>
      <c r="V162" s="289"/>
      <c r="W162" s="289"/>
      <c r="X162" s="289"/>
      <c r="Y162" s="289"/>
      <c r="Z162" s="289"/>
      <c r="AA162" s="289"/>
      <c r="AB162" s="289"/>
      <c r="AC162" s="289"/>
      <c r="AD162" s="289"/>
      <c r="AE162" s="289"/>
      <c r="AF162" s="289"/>
      <c r="AG162" s="289"/>
      <c r="AH162" s="289"/>
      <c r="AI162" s="289"/>
      <c r="AJ162" s="289"/>
      <c r="AK162" s="289"/>
      <c r="AL162" s="289"/>
      <c r="AM162" s="289"/>
      <c r="AN162" s="289"/>
      <c r="AO162" s="289"/>
      <c r="AP162" s="289"/>
      <c r="AQ162" s="289"/>
      <c r="AR162" s="289"/>
      <c r="AS162" s="289"/>
      <c r="AT162" s="289"/>
      <c r="AU162" s="289"/>
      <c r="AV162" s="289"/>
      <c r="AW162" s="289"/>
      <c r="AX162" s="289"/>
      <c r="AY162" s="289"/>
      <c r="AZ162" s="289"/>
      <c r="BA162" s="289"/>
      <c r="BB162" s="289"/>
      <c r="BC162" s="289"/>
      <c r="BD162" s="289"/>
      <c r="BE162" s="289"/>
      <c r="BF162" s="289"/>
      <c r="BG162" s="289"/>
      <c r="BH162" s="289"/>
      <c r="BI162" s="289"/>
      <c r="BJ162" s="289"/>
      <c r="BK162" s="289"/>
      <c r="BL162" s="289"/>
      <c r="BM162" s="289"/>
      <c r="BN162" s="289"/>
      <c r="BO162" s="289"/>
      <c r="BP162" s="289"/>
      <c r="BQ162" s="289"/>
      <c r="BR162" s="289"/>
      <c r="BS162" s="289"/>
      <c r="BT162" s="289"/>
      <c r="BU162" s="289"/>
      <c r="BV162" s="289"/>
    </row>
    <row r="163" spans="2:74" x14ac:dyDescent="0.2">
      <c r="B163" s="210"/>
      <c r="C163" s="203"/>
      <c r="D163" s="203"/>
      <c r="E163" s="288"/>
      <c r="F163" s="289"/>
      <c r="G163" s="289"/>
      <c r="H163" s="289"/>
      <c r="I163" s="289"/>
      <c r="J163" s="289"/>
      <c r="K163" s="289"/>
      <c r="L163" s="289"/>
      <c r="M163" s="289"/>
      <c r="N163" s="289"/>
      <c r="O163" s="289"/>
      <c r="P163" s="289"/>
      <c r="Q163" s="289"/>
      <c r="R163" s="289"/>
      <c r="S163" s="289"/>
      <c r="T163" s="289"/>
      <c r="U163" s="289"/>
      <c r="V163" s="289"/>
      <c r="W163" s="289"/>
      <c r="X163" s="289"/>
      <c r="Y163" s="289"/>
      <c r="Z163" s="289"/>
      <c r="AA163" s="289"/>
      <c r="AB163" s="289"/>
      <c r="AC163" s="289"/>
      <c r="AD163" s="289"/>
      <c r="AE163" s="289"/>
      <c r="AF163" s="289"/>
      <c r="AG163" s="289"/>
      <c r="AH163" s="289"/>
      <c r="AI163" s="289"/>
      <c r="AJ163" s="289"/>
      <c r="AK163" s="289"/>
      <c r="AL163" s="289"/>
      <c r="AM163" s="289"/>
      <c r="AN163" s="289"/>
      <c r="AO163" s="289"/>
      <c r="AP163" s="289"/>
      <c r="AQ163" s="289"/>
      <c r="AR163" s="289"/>
      <c r="AS163" s="289"/>
      <c r="AT163" s="289"/>
      <c r="AU163" s="289"/>
      <c r="AV163" s="289"/>
      <c r="AW163" s="289"/>
      <c r="AX163" s="289"/>
      <c r="AY163" s="289"/>
      <c r="AZ163" s="289"/>
      <c r="BA163" s="289"/>
      <c r="BB163" s="289"/>
      <c r="BC163" s="289"/>
      <c r="BD163" s="289"/>
      <c r="BE163" s="289"/>
      <c r="BF163" s="289"/>
      <c r="BG163" s="289"/>
      <c r="BH163" s="289"/>
      <c r="BI163" s="289"/>
      <c r="BJ163" s="289"/>
      <c r="BK163" s="289"/>
      <c r="BL163" s="289"/>
      <c r="BM163" s="289"/>
      <c r="BN163" s="289"/>
      <c r="BO163" s="289"/>
      <c r="BP163" s="289"/>
      <c r="BQ163" s="289"/>
      <c r="BR163" s="289"/>
      <c r="BS163" s="289"/>
      <c r="BT163" s="289"/>
      <c r="BU163" s="289"/>
      <c r="BV163" s="289"/>
    </row>
    <row r="164" spans="2:74" x14ac:dyDescent="0.2">
      <c r="B164" s="210"/>
      <c r="C164" s="203"/>
      <c r="D164" s="203"/>
      <c r="E164" s="288"/>
      <c r="F164" s="289"/>
      <c r="G164" s="289"/>
      <c r="H164" s="289"/>
      <c r="I164" s="289"/>
      <c r="J164" s="289"/>
      <c r="K164" s="289"/>
      <c r="L164" s="289"/>
      <c r="M164" s="289"/>
      <c r="N164" s="289"/>
      <c r="O164" s="289"/>
      <c r="P164" s="289"/>
      <c r="Q164" s="289"/>
      <c r="R164" s="289"/>
      <c r="S164" s="289"/>
      <c r="T164" s="289"/>
      <c r="U164" s="289"/>
      <c r="V164" s="289"/>
      <c r="W164" s="289"/>
      <c r="X164" s="289"/>
      <c r="Y164" s="289"/>
      <c r="Z164" s="289"/>
      <c r="AA164" s="289"/>
      <c r="AB164" s="289"/>
      <c r="AC164" s="289"/>
      <c r="AD164" s="289"/>
      <c r="AE164" s="289"/>
      <c r="AF164" s="289"/>
      <c r="AG164" s="289"/>
      <c r="AH164" s="289"/>
      <c r="AI164" s="289"/>
      <c r="AJ164" s="289"/>
      <c r="AK164" s="289"/>
      <c r="AL164" s="289"/>
      <c r="AM164" s="289"/>
      <c r="AN164" s="289"/>
      <c r="AO164" s="289"/>
      <c r="AP164" s="289"/>
      <c r="AQ164" s="289"/>
      <c r="AR164" s="289"/>
      <c r="AS164" s="289"/>
      <c r="AT164" s="289"/>
      <c r="AU164" s="289"/>
      <c r="AV164" s="289"/>
      <c r="AW164" s="289"/>
      <c r="AX164" s="289"/>
      <c r="AY164" s="289"/>
      <c r="AZ164" s="289"/>
      <c r="BA164" s="289"/>
      <c r="BB164" s="289"/>
      <c r="BC164" s="289"/>
      <c r="BD164" s="289"/>
      <c r="BE164" s="289"/>
      <c r="BF164" s="289"/>
      <c r="BG164" s="289"/>
      <c r="BH164" s="289"/>
      <c r="BI164" s="289"/>
      <c r="BJ164" s="289"/>
      <c r="BK164" s="289"/>
      <c r="BL164" s="289"/>
      <c r="BM164" s="289"/>
      <c r="BN164" s="289"/>
      <c r="BO164" s="289"/>
      <c r="BP164" s="289"/>
      <c r="BQ164" s="289"/>
      <c r="BR164" s="289"/>
      <c r="BS164" s="289"/>
      <c r="BT164" s="289"/>
      <c r="BU164" s="289"/>
      <c r="BV164" s="289"/>
    </row>
    <row r="165" spans="2:74" x14ac:dyDescent="0.2">
      <c r="B165" s="210"/>
      <c r="C165" s="203"/>
      <c r="D165" s="203"/>
      <c r="E165" s="288"/>
      <c r="F165" s="289"/>
      <c r="G165" s="289"/>
      <c r="H165" s="289"/>
      <c r="I165" s="289"/>
      <c r="J165" s="289"/>
      <c r="K165" s="289"/>
      <c r="L165" s="289"/>
      <c r="M165" s="289"/>
      <c r="N165" s="289"/>
      <c r="O165" s="289"/>
      <c r="P165" s="289"/>
      <c r="Q165" s="289"/>
      <c r="R165" s="289"/>
      <c r="S165" s="289"/>
      <c r="T165" s="289"/>
      <c r="U165" s="289"/>
      <c r="V165" s="289"/>
      <c r="W165" s="289"/>
      <c r="X165" s="289"/>
      <c r="Y165" s="289"/>
      <c r="Z165" s="289"/>
      <c r="AA165" s="289"/>
      <c r="AB165" s="289"/>
      <c r="AC165" s="289"/>
      <c r="AD165" s="289"/>
      <c r="AE165" s="289"/>
      <c r="AF165" s="289"/>
      <c r="AG165" s="289"/>
      <c r="AH165" s="289"/>
      <c r="AI165" s="289"/>
      <c r="AJ165" s="289"/>
      <c r="AK165" s="289"/>
      <c r="AL165" s="289"/>
      <c r="AM165" s="289"/>
      <c r="AN165" s="289"/>
      <c r="AO165" s="289"/>
      <c r="AP165" s="289"/>
      <c r="AQ165" s="289"/>
      <c r="AR165" s="289"/>
      <c r="AS165" s="289"/>
      <c r="AT165" s="289"/>
      <c r="AU165" s="289"/>
      <c r="AV165" s="289"/>
      <c r="AW165" s="289"/>
      <c r="AX165" s="289"/>
      <c r="AY165" s="289"/>
      <c r="AZ165" s="289"/>
      <c r="BA165" s="289"/>
      <c r="BB165" s="289"/>
      <c r="BC165" s="289"/>
      <c r="BD165" s="289"/>
      <c r="BE165" s="289"/>
      <c r="BF165" s="289"/>
      <c r="BG165" s="289"/>
      <c r="BH165" s="289"/>
      <c r="BI165" s="289"/>
      <c r="BJ165" s="289"/>
      <c r="BK165" s="289"/>
      <c r="BL165" s="289"/>
      <c r="BM165" s="289"/>
      <c r="BN165" s="289"/>
      <c r="BO165" s="289"/>
      <c r="BP165" s="289"/>
      <c r="BQ165" s="289"/>
      <c r="BR165" s="289"/>
      <c r="BS165" s="289"/>
      <c r="BT165" s="289"/>
      <c r="BU165" s="289"/>
      <c r="BV165" s="289"/>
    </row>
    <row r="166" spans="2:74" x14ac:dyDescent="0.2">
      <c r="B166" s="210"/>
      <c r="C166" s="203"/>
      <c r="D166" s="203"/>
      <c r="E166" s="288"/>
      <c r="F166" s="289"/>
      <c r="G166" s="289"/>
      <c r="H166" s="289"/>
      <c r="I166" s="289"/>
      <c r="J166" s="289"/>
      <c r="K166" s="289"/>
      <c r="L166" s="289"/>
      <c r="M166" s="289"/>
      <c r="N166" s="289"/>
      <c r="O166" s="289"/>
      <c r="P166" s="289"/>
      <c r="Q166" s="289"/>
      <c r="R166" s="289"/>
      <c r="S166" s="289"/>
      <c r="T166" s="289"/>
      <c r="U166" s="289"/>
      <c r="V166" s="289"/>
      <c r="W166" s="289"/>
      <c r="X166" s="289"/>
      <c r="Y166" s="289"/>
      <c r="Z166" s="289"/>
      <c r="AA166" s="289"/>
      <c r="AB166" s="289"/>
      <c r="AC166" s="289"/>
      <c r="AD166" s="289"/>
      <c r="AE166" s="289"/>
      <c r="AF166" s="289"/>
      <c r="AG166" s="289"/>
      <c r="AH166" s="289"/>
      <c r="AI166" s="289"/>
      <c r="AJ166" s="289"/>
      <c r="AK166" s="289"/>
      <c r="AL166" s="289"/>
      <c r="AM166" s="289"/>
      <c r="AN166" s="289"/>
      <c r="AO166" s="289"/>
      <c r="AP166" s="289"/>
      <c r="AQ166" s="289"/>
      <c r="AR166" s="289"/>
      <c r="AS166" s="289"/>
      <c r="AT166" s="289"/>
      <c r="AU166" s="289"/>
      <c r="AV166" s="289"/>
      <c r="AW166" s="289"/>
      <c r="AX166" s="289"/>
      <c r="AY166" s="289"/>
      <c r="AZ166" s="289"/>
      <c r="BA166" s="289"/>
      <c r="BB166" s="289"/>
      <c r="BC166" s="289"/>
      <c r="BD166" s="289"/>
      <c r="BE166" s="289"/>
      <c r="BF166" s="289"/>
      <c r="BG166" s="289"/>
      <c r="BH166" s="289"/>
      <c r="BI166" s="289"/>
      <c r="BJ166" s="289"/>
      <c r="BK166" s="289"/>
      <c r="BL166" s="289"/>
      <c r="BM166" s="289"/>
      <c r="BN166" s="289"/>
      <c r="BO166" s="289"/>
      <c r="BP166" s="289"/>
      <c r="BQ166" s="289"/>
      <c r="BR166" s="289"/>
      <c r="BS166" s="289"/>
      <c r="BT166" s="289"/>
      <c r="BU166" s="289"/>
      <c r="BV166" s="289"/>
    </row>
    <row r="167" spans="2:74" x14ac:dyDescent="0.2">
      <c r="B167" s="210"/>
      <c r="C167" s="203"/>
      <c r="D167" s="203"/>
      <c r="E167" s="288"/>
      <c r="F167" s="289"/>
      <c r="G167" s="289"/>
      <c r="H167" s="289"/>
      <c r="I167" s="289"/>
      <c r="J167" s="289"/>
      <c r="K167" s="289"/>
      <c r="L167" s="289"/>
      <c r="M167" s="289"/>
      <c r="N167" s="289"/>
      <c r="O167" s="289"/>
      <c r="P167" s="289"/>
      <c r="Q167" s="289"/>
      <c r="R167" s="289"/>
      <c r="S167" s="289"/>
      <c r="T167" s="289"/>
      <c r="U167" s="289"/>
      <c r="V167" s="289"/>
      <c r="W167" s="289"/>
      <c r="X167" s="289"/>
      <c r="Y167" s="289"/>
      <c r="Z167" s="289"/>
      <c r="AA167" s="289"/>
      <c r="AB167" s="289"/>
      <c r="AC167" s="289"/>
      <c r="AD167" s="289"/>
      <c r="AE167" s="289"/>
      <c r="AF167" s="289"/>
      <c r="AG167" s="289"/>
      <c r="AH167" s="289"/>
      <c r="AI167" s="289"/>
      <c r="AJ167" s="289"/>
      <c r="AK167" s="289"/>
      <c r="AL167" s="289"/>
      <c r="AM167" s="289"/>
      <c r="AN167" s="289"/>
      <c r="AO167" s="289"/>
      <c r="AP167" s="289"/>
      <c r="AQ167" s="289"/>
      <c r="AR167" s="289"/>
      <c r="AS167" s="289"/>
      <c r="AT167" s="289"/>
      <c r="AU167" s="289"/>
      <c r="AV167" s="289"/>
      <c r="AW167" s="289"/>
      <c r="AX167" s="289"/>
      <c r="AY167" s="289"/>
      <c r="AZ167" s="289"/>
      <c r="BA167" s="289"/>
      <c r="BB167" s="289"/>
      <c r="BC167" s="289"/>
      <c r="BD167" s="289"/>
      <c r="BE167" s="289"/>
      <c r="BF167" s="289"/>
      <c r="BG167" s="289"/>
      <c r="BH167" s="289"/>
      <c r="BI167" s="289"/>
      <c r="BJ167" s="289"/>
      <c r="BK167" s="289"/>
      <c r="BL167" s="289"/>
      <c r="BM167" s="289"/>
      <c r="BN167" s="289"/>
      <c r="BO167" s="289"/>
      <c r="BP167" s="289"/>
      <c r="BQ167" s="289"/>
      <c r="BR167" s="289"/>
      <c r="BS167" s="289"/>
      <c r="BT167" s="289"/>
      <c r="BU167" s="289"/>
      <c r="BV167" s="289"/>
    </row>
    <row r="168" spans="2:74" x14ac:dyDescent="0.2">
      <c r="B168" s="210"/>
      <c r="C168" s="203"/>
      <c r="D168" s="203"/>
      <c r="E168" s="288"/>
      <c r="F168" s="289"/>
      <c r="G168" s="289"/>
      <c r="H168" s="289"/>
      <c r="I168" s="289"/>
      <c r="J168" s="289"/>
      <c r="K168" s="289"/>
      <c r="L168" s="289"/>
      <c r="M168" s="289"/>
      <c r="N168" s="289"/>
      <c r="O168" s="289"/>
      <c r="P168" s="289"/>
      <c r="Q168" s="289"/>
      <c r="R168" s="289"/>
      <c r="S168" s="289"/>
      <c r="T168" s="289"/>
      <c r="U168" s="289"/>
      <c r="V168" s="289"/>
      <c r="W168" s="289"/>
      <c r="X168" s="289"/>
      <c r="Y168" s="289"/>
      <c r="Z168" s="289"/>
      <c r="AA168" s="289"/>
      <c r="AB168" s="289"/>
      <c r="AC168" s="289"/>
      <c r="AD168" s="289"/>
      <c r="AE168" s="289"/>
      <c r="AF168" s="289"/>
      <c r="AG168" s="289"/>
      <c r="AH168" s="289"/>
      <c r="AI168" s="289"/>
      <c r="AJ168" s="289"/>
      <c r="AK168" s="289"/>
      <c r="AL168" s="289"/>
      <c r="AM168" s="289"/>
      <c r="AN168" s="289"/>
      <c r="AO168" s="289"/>
      <c r="AP168" s="289"/>
      <c r="AQ168" s="289"/>
      <c r="AR168" s="289"/>
      <c r="AS168" s="289"/>
      <c r="AT168" s="289"/>
      <c r="AU168" s="289"/>
      <c r="AV168" s="289"/>
      <c r="AW168" s="289"/>
      <c r="AX168" s="289"/>
      <c r="AY168" s="289"/>
      <c r="AZ168" s="289"/>
      <c r="BA168" s="289"/>
      <c r="BB168" s="289"/>
      <c r="BC168" s="289"/>
      <c r="BD168" s="289"/>
      <c r="BE168" s="289"/>
      <c r="BF168" s="289"/>
      <c r="BG168" s="289"/>
      <c r="BH168" s="289"/>
      <c r="BI168" s="289"/>
      <c r="BJ168" s="289"/>
      <c r="BK168" s="289"/>
      <c r="BL168" s="289"/>
      <c r="BM168" s="289"/>
      <c r="BN168" s="289"/>
      <c r="BO168" s="289"/>
      <c r="BP168" s="289"/>
      <c r="BQ168" s="289"/>
      <c r="BR168" s="289"/>
      <c r="BS168" s="289"/>
      <c r="BT168" s="289"/>
      <c r="BU168" s="289"/>
      <c r="BV168" s="289"/>
    </row>
    <row r="169" spans="2:74" x14ac:dyDescent="0.2">
      <c r="B169" s="210"/>
      <c r="C169" s="203"/>
      <c r="D169" s="203"/>
      <c r="E169" s="288"/>
      <c r="F169" s="289"/>
      <c r="G169" s="289"/>
      <c r="H169" s="289"/>
      <c r="I169" s="289"/>
      <c r="J169" s="289"/>
      <c r="K169" s="289"/>
      <c r="L169" s="289"/>
      <c r="M169" s="289"/>
      <c r="N169" s="289"/>
      <c r="O169" s="289"/>
      <c r="P169" s="289"/>
      <c r="Q169" s="289"/>
      <c r="R169" s="289"/>
      <c r="S169" s="289"/>
      <c r="T169" s="289"/>
      <c r="U169" s="289"/>
      <c r="V169" s="289"/>
      <c r="W169" s="289"/>
      <c r="X169" s="289"/>
      <c r="Y169" s="289"/>
      <c r="Z169" s="289"/>
      <c r="AA169" s="289"/>
      <c r="AB169" s="289"/>
      <c r="AC169" s="289"/>
      <c r="AD169" s="289"/>
      <c r="AE169" s="289"/>
      <c r="AF169" s="289"/>
      <c r="AG169" s="289"/>
      <c r="AH169" s="289"/>
      <c r="AI169" s="289"/>
      <c r="AJ169" s="289"/>
      <c r="AK169" s="289"/>
      <c r="AL169" s="289"/>
      <c r="AM169" s="289"/>
      <c r="AN169" s="289"/>
      <c r="AO169" s="289"/>
      <c r="AP169" s="289"/>
      <c r="AQ169" s="289"/>
      <c r="AR169" s="289"/>
      <c r="AS169" s="289"/>
      <c r="AT169" s="289"/>
      <c r="AU169" s="289"/>
      <c r="AV169" s="289"/>
      <c r="AW169" s="289"/>
      <c r="AX169" s="289"/>
      <c r="AY169" s="289"/>
      <c r="AZ169" s="289"/>
      <c r="BA169" s="289"/>
      <c r="BB169" s="289"/>
      <c r="BC169" s="289"/>
      <c r="BD169" s="289"/>
      <c r="BE169" s="289"/>
      <c r="BF169" s="289"/>
      <c r="BG169" s="289"/>
      <c r="BH169" s="289"/>
      <c r="BI169" s="289"/>
      <c r="BJ169" s="289"/>
      <c r="BK169" s="289"/>
      <c r="BL169" s="289"/>
      <c r="BM169" s="289"/>
      <c r="BN169" s="289"/>
      <c r="BO169" s="289"/>
      <c r="BP169" s="289"/>
      <c r="BQ169" s="289"/>
      <c r="BR169" s="289"/>
      <c r="BS169" s="289"/>
      <c r="BT169" s="289"/>
      <c r="BU169" s="289"/>
      <c r="BV169" s="289"/>
    </row>
    <row r="170" spans="2:74" x14ac:dyDescent="0.2">
      <c r="B170" s="210"/>
      <c r="C170" s="203"/>
      <c r="D170" s="203"/>
      <c r="E170" s="288"/>
      <c r="F170" s="289"/>
      <c r="G170" s="289"/>
      <c r="H170" s="289"/>
      <c r="I170" s="289"/>
      <c r="J170" s="289"/>
      <c r="K170" s="289"/>
      <c r="L170" s="289"/>
      <c r="M170" s="289"/>
      <c r="N170" s="289"/>
      <c r="O170" s="289"/>
      <c r="P170" s="289"/>
      <c r="Q170" s="289"/>
      <c r="R170" s="289"/>
      <c r="S170" s="289"/>
      <c r="T170" s="289"/>
      <c r="U170" s="289"/>
      <c r="V170" s="289"/>
      <c r="W170" s="289"/>
      <c r="X170" s="289"/>
      <c r="Y170" s="289"/>
      <c r="Z170" s="289"/>
      <c r="AA170" s="289"/>
      <c r="AB170" s="289"/>
      <c r="AC170" s="289"/>
      <c r="AD170" s="289"/>
      <c r="AE170" s="289"/>
      <c r="AF170" s="289"/>
      <c r="AG170" s="289"/>
      <c r="AH170" s="289"/>
      <c r="AI170" s="289"/>
      <c r="AJ170" s="289"/>
      <c r="AK170" s="289"/>
      <c r="AL170" s="289"/>
      <c r="AM170" s="289"/>
      <c r="AN170" s="289"/>
      <c r="AO170" s="289"/>
      <c r="AP170" s="289"/>
      <c r="AQ170" s="289"/>
      <c r="AR170" s="289"/>
      <c r="AS170" s="289"/>
      <c r="AT170" s="289"/>
      <c r="AU170" s="289"/>
      <c r="AV170" s="289"/>
      <c r="AW170" s="289"/>
      <c r="AX170" s="289"/>
      <c r="AY170" s="289"/>
      <c r="AZ170" s="289"/>
      <c r="BA170" s="289"/>
      <c r="BB170" s="289"/>
      <c r="BC170" s="289"/>
      <c r="BD170" s="289"/>
      <c r="BE170" s="289"/>
      <c r="BF170" s="289"/>
      <c r="BG170" s="289"/>
      <c r="BH170" s="289"/>
      <c r="BI170" s="289"/>
      <c r="BJ170" s="289"/>
      <c r="BK170" s="289"/>
      <c r="BL170" s="289"/>
      <c r="BM170" s="289"/>
      <c r="BN170" s="289"/>
      <c r="BO170" s="289"/>
      <c r="BP170" s="289"/>
      <c r="BQ170" s="289"/>
      <c r="BR170" s="289"/>
      <c r="BS170" s="289"/>
      <c r="BT170" s="289"/>
      <c r="BU170" s="289"/>
      <c r="BV170" s="289"/>
    </row>
    <row r="171" spans="2:74" x14ac:dyDescent="0.2">
      <c r="B171" s="210"/>
      <c r="C171" s="203"/>
      <c r="D171" s="203"/>
      <c r="E171" s="288"/>
      <c r="F171" s="289"/>
      <c r="G171" s="289"/>
      <c r="H171" s="289"/>
      <c r="I171" s="289"/>
      <c r="J171" s="289"/>
      <c r="K171" s="289"/>
      <c r="L171" s="289"/>
      <c r="M171" s="289"/>
      <c r="N171" s="289"/>
      <c r="O171" s="289"/>
      <c r="P171" s="289"/>
      <c r="Q171" s="289"/>
      <c r="R171" s="289"/>
      <c r="S171" s="289"/>
      <c r="T171" s="289"/>
      <c r="U171" s="289"/>
      <c r="V171" s="289"/>
      <c r="W171" s="289"/>
      <c r="X171" s="289"/>
      <c r="Y171" s="289"/>
      <c r="Z171" s="289"/>
      <c r="AA171" s="289"/>
      <c r="AB171" s="289"/>
      <c r="AC171" s="289"/>
      <c r="AD171" s="289"/>
      <c r="AE171" s="289"/>
      <c r="AF171" s="289"/>
      <c r="AG171" s="289"/>
      <c r="AH171" s="289"/>
      <c r="AI171" s="289"/>
      <c r="AJ171" s="289"/>
      <c r="AK171" s="289"/>
      <c r="AL171" s="289"/>
      <c r="AM171" s="289"/>
      <c r="AN171" s="289"/>
      <c r="AO171" s="289"/>
      <c r="AP171" s="289"/>
      <c r="AQ171" s="289"/>
      <c r="AR171" s="289"/>
      <c r="AS171" s="289"/>
      <c r="AT171" s="289"/>
      <c r="AU171" s="289"/>
      <c r="AV171" s="289"/>
      <c r="AW171" s="289"/>
      <c r="AX171" s="289"/>
      <c r="AY171" s="289"/>
      <c r="AZ171" s="289"/>
      <c r="BA171" s="289"/>
      <c r="BB171" s="289"/>
      <c r="BC171" s="289"/>
      <c r="BD171" s="289"/>
      <c r="BE171" s="289"/>
      <c r="BF171" s="289"/>
      <c r="BG171" s="289"/>
      <c r="BH171" s="289"/>
      <c r="BI171" s="289"/>
      <c r="BJ171" s="289"/>
      <c r="BK171" s="289"/>
      <c r="BL171" s="289"/>
      <c r="BM171" s="289"/>
      <c r="BN171" s="289"/>
      <c r="BO171" s="289"/>
      <c r="BP171" s="289"/>
      <c r="BQ171" s="289"/>
      <c r="BR171" s="289"/>
      <c r="BS171" s="289"/>
      <c r="BT171" s="289"/>
      <c r="BU171" s="289"/>
      <c r="BV171" s="289"/>
    </row>
    <row r="172" spans="2:74" x14ac:dyDescent="0.2">
      <c r="B172" s="210"/>
      <c r="C172" s="203"/>
      <c r="D172" s="203"/>
      <c r="E172" s="288"/>
      <c r="F172" s="289"/>
      <c r="G172" s="289"/>
      <c r="H172" s="289"/>
      <c r="I172" s="289"/>
      <c r="J172" s="289"/>
      <c r="K172" s="289"/>
      <c r="L172" s="289"/>
      <c r="M172" s="289"/>
      <c r="N172" s="289"/>
      <c r="O172" s="289"/>
      <c r="P172" s="289"/>
      <c r="Q172" s="289"/>
      <c r="R172" s="289"/>
      <c r="S172" s="289"/>
      <c r="T172" s="289"/>
      <c r="U172" s="289"/>
      <c r="V172" s="289"/>
      <c r="W172" s="289"/>
      <c r="X172" s="289"/>
      <c r="Y172" s="289"/>
      <c r="Z172" s="289"/>
      <c r="AA172" s="289"/>
      <c r="AB172" s="289"/>
      <c r="AC172" s="289"/>
      <c r="AD172" s="289"/>
      <c r="AE172" s="289"/>
      <c r="AF172" s="289"/>
      <c r="AG172" s="289"/>
      <c r="AH172" s="289"/>
      <c r="AI172" s="289"/>
      <c r="AJ172" s="289"/>
      <c r="AK172" s="289"/>
      <c r="AL172" s="289"/>
      <c r="AM172" s="289"/>
      <c r="AN172" s="289"/>
      <c r="AO172" s="289"/>
      <c r="AP172" s="289"/>
      <c r="AQ172" s="289"/>
      <c r="AR172" s="289"/>
      <c r="AS172" s="289"/>
      <c r="AT172" s="289"/>
      <c r="AU172" s="289"/>
      <c r="AV172" s="289"/>
      <c r="AW172" s="289"/>
      <c r="AX172" s="289"/>
      <c r="AY172" s="289"/>
      <c r="AZ172" s="289"/>
      <c r="BA172" s="289"/>
      <c r="BB172" s="289"/>
      <c r="BC172" s="289"/>
      <c r="BD172" s="289"/>
      <c r="BE172" s="289"/>
      <c r="BF172" s="289"/>
      <c r="BG172" s="289"/>
      <c r="BH172" s="289"/>
      <c r="BI172" s="289"/>
      <c r="BJ172" s="289"/>
      <c r="BK172" s="289"/>
      <c r="BL172" s="289"/>
      <c r="BM172" s="289"/>
      <c r="BN172" s="289"/>
      <c r="BO172" s="289"/>
      <c r="BP172" s="289"/>
      <c r="BQ172" s="289"/>
      <c r="BR172" s="289"/>
      <c r="BS172" s="289"/>
      <c r="BT172" s="289"/>
      <c r="BU172" s="289"/>
      <c r="BV172" s="289"/>
    </row>
    <row r="173" spans="2:74" x14ac:dyDescent="0.2">
      <c r="B173" s="210"/>
      <c r="C173" s="203"/>
      <c r="D173" s="203"/>
      <c r="E173" s="288"/>
      <c r="F173" s="289"/>
      <c r="G173" s="289"/>
      <c r="H173" s="289"/>
      <c r="I173" s="289"/>
      <c r="J173" s="289"/>
      <c r="K173" s="289"/>
      <c r="L173" s="289"/>
      <c r="M173" s="289"/>
      <c r="N173" s="289"/>
      <c r="O173" s="289"/>
      <c r="P173" s="289"/>
      <c r="Q173" s="289"/>
      <c r="R173" s="289"/>
      <c r="S173" s="289"/>
      <c r="T173" s="289"/>
      <c r="U173" s="289"/>
      <c r="V173" s="289"/>
      <c r="W173" s="289"/>
      <c r="X173" s="289"/>
      <c r="Y173" s="289"/>
      <c r="Z173" s="289"/>
      <c r="AA173" s="289"/>
      <c r="AB173" s="289"/>
      <c r="AC173" s="289"/>
      <c r="AD173" s="289"/>
      <c r="AE173" s="289"/>
      <c r="AF173" s="289"/>
      <c r="AG173" s="289"/>
      <c r="AH173" s="289"/>
      <c r="AI173" s="289"/>
      <c r="AJ173" s="289"/>
      <c r="AK173" s="289"/>
      <c r="AL173" s="289"/>
      <c r="AM173" s="289"/>
      <c r="AN173" s="289"/>
      <c r="AO173" s="289"/>
      <c r="AP173" s="289"/>
      <c r="AQ173" s="289"/>
      <c r="AR173" s="289"/>
      <c r="AS173" s="289"/>
      <c r="AT173" s="289"/>
      <c r="AU173" s="289"/>
      <c r="AV173" s="289"/>
      <c r="AW173" s="289"/>
      <c r="AX173" s="289"/>
      <c r="AY173" s="289"/>
      <c r="AZ173" s="289"/>
      <c r="BA173" s="289"/>
      <c r="BB173" s="289"/>
      <c r="BC173" s="289"/>
      <c r="BD173" s="289"/>
      <c r="BE173" s="289"/>
      <c r="BF173" s="289"/>
      <c r="BG173" s="289"/>
      <c r="BH173" s="289"/>
      <c r="BI173" s="289"/>
      <c r="BJ173" s="289"/>
      <c r="BK173" s="289"/>
      <c r="BL173" s="289"/>
      <c r="BM173" s="289"/>
      <c r="BN173" s="289"/>
      <c r="BO173" s="289"/>
      <c r="BP173" s="289"/>
      <c r="BQ173" s="289"/>
      <c r="BR173" s="289"/>
      <c r="BS173" s="289"/>
      <c r="BT173" s="289"/>
      <c r="BU173" s="289"/>
      <c r="BV173" s="289"/>
    </row>
    <row r="174" spans="2:74" x14ac:dyDescent="0.2">
      <c r="B174" s="210"/>
      <c r="C174" s="203"/>
      <c r="D174" s="203"/>
      <c r="E174" s="288"/>
      <c r="F174" s="289"/>
      <c r="G174" s="289"/>
      <c r="H174" s="289"/>
      <c r="I174" s="289"/>
      <c r="J174" s="289"/>
      <c r="K174" s="289"/>
      <c r="L174" s="289"/>
      <c r="M174" s="289"/>
      <c r="N174" s="289"/>
      <c r="O174" s="289"/>
      <c r="P174" s="289"/>
      <c r="Q174" s="289"/>
      <c r="R174" s="289"/>
      <c r="S174" s="289"/>
      <c r="T174" s="289"/>
      <c r="U174" s="289"/>
      <c r="V174" s="289"/>
      <c r="W174" s="289"/>
      <c r="X174" s="289"/>
      <c r="Y174" s="289"/>
      <c r="Z174" s="289"/>
      <c r="AA174" s="289"/>
      <c r="AB174" s="289"/>
      <c r="AC174" s="289"/>
      <c r="AD174" s="289"/>
      <c r="AE174" s="289"/>
      <c r="AF174" s="289"/>
      <c r="AG174" s="289"/>
      <c r="AH174" s="289"/>
      <c r="AI174" s="289"/>
      <c r="AJ174" s="289"/>
      <c r="AK174" s="289"/>
      <c r="AL174" s="289"/>
      <c r="AM174" s="289"/>
      <c r="AN174" s="289"/>
      <c r="AO174" s="289"/>
      <c r="AP174" s="289"/>
      <c r="AQ174" s="289"/>
      <c r="AR174" s="289"/>
      <c r="AS174" s="289"/>
      <c r="AT174" s="289"/>
      <c r="AU174" s="289"/>
      <c r="AV174" s="289"/>
      <c r="AW174" s="289"/>
      <c r="AX174" s="289"/>
      <c r="AY174" s="289"/>
      <c r="AZ174" s="289"/>
      <c r="BA174" s="289"/>
      <c r="BB174" s="289"/>
      <c r="BC174" s="289"/>
      <c r="BD174" s="289"/>
      <c r="BE174" s="289"/>
      <c r="BF174" s="289"/>
      <c r="BG174" s="289"/>
      <c r="BH174" s="289"/>
      <c r="BI174" s="289"/>
      <c r="BJ174" s="289"/>
      <c r="BK174" s="289"/>
      <c r="BL174" s="289"/>
      <c r="BM174" s="289"/>
      <c r="BN174" s="289"/>
      <c r="BO174" s="289"/>
      <c r="BP174" s="289"/>
      <c r="BQ174" s="289"/>
      <c r="BR174" s="289"/>
      <c r="BS174" s="289"/>
      <c r="BT174" s="289"/>
      <c r="BU174" s="289"/>
      <c r="BV174" s="289"/>
    </row>
    <row r="175" spans="2:74" x14ac:dyDescent="0.2">
      <c r="B175" s="210"/>
      <c r="C175" s="203"/>
      <c r="D175" s="203"/>
      <c r="E175" s="288"/>
      <c r="F175" s="289"/>
      <c r="G175" s="289"/>
      <c r="H175" s="289"/>
      <c r="I175" s="289"/>
      <c r="J175" s="289"/>
      <c r="K175" s="289"/>
      <c r="L175" s="289"/>
      <c r="M175" s="289"/>
      <c r="N175" s="289"/>
      <c r="O175" s="289"/>
      <c r="P175" s="289"/>
      <c r="Q175" s="289"/>
      <c r="R175" s="289"/>
      <c r="S175" s="289"/>
      <c r="T175" s="289"/>
      <c r="U175" s="289"/>
      <c r="V175" s="289"/>
      <c r="W175" s="289"/>
      <c r="X175" s="289"/>
      <c r="Y175" s="289"/>
      <c r="Z175" s="289"/>
      <c r="AA175" s="289"/>
      <c r="AB175" s="289"/>
      <c r="AC175" s="289"/>
      <c r="AD175" s="289"/>
      <c r="AE175" s="289"/>
      <c r="AF175" s="289"/>
      <c r="AG175" s="289"/>
      <c r="AH175" s="289"/>
      <c r="AI175" s="289"/>
      <c r="AJ175" s="289"/>
      <c r="AK175" s="289"/>
      <c r="AL175" s="289"/>
      <c r="AM175" s="289"/>
      <c r="AN175" s="289"/>
      <c r="AO175" s="289"/>
      <c r="AP175" s="289"/>
      <c r="AQ175" s="289"/>
      <c r="AR175" s="289"/>
      <c r="AS175" s="289"/>
      <c r="AT175" s="289"/>
      <c r="AU175" s="289"/>
      <c r="AV175" s="289"/>
      <c r="AW175" s="289"/>
      <c r="AX175" s="289"/>
      <c r="AY175" s="289"/>
      <c r="AZ175" s="289"/>
      <c r="BA175" s="289"/>
      <c r="BB175" s="289"/>
      <c r="BC175" s="289"/>
      <c r="BD175" s="289"/>
      <c r="BE175" s="289"/>
      <c r="BF175" s="289"/>
      <c r="BG175" s="289"/>
      <c r="BH175" s="289"/>
      <c r="BI175" s="289"/>
      <c r="BJ175" s="289"/>
      <c r="BK175" s="289"/>
      <c r="BL175" s="289"/>
      <c r="BM175" s="289"/>
      <c r="BN175" s="289"/>
      <c r="BO175" s="289"/>
      <c r="BP175" s="289"/>
      <c r="BQ175" s="289"/>
      <c r="BR175" s="289"/>
      <c r="BS175" s="289"/>
      <c r="BT175" s="289"/>
      <c r="BU175" s="289"/>
      <c r="BV175" s="289"/>
    </row>
    <row r="176" spans="2:74" x14ac:dyDescent="0.2">
      <c r="B176" s="210"/>
      <c r="C176" s="203"/>
      <c r="D176" s="203"/>
      <c r="E176" s="288"/>
      <c r="F176" s="289"/>
      <c r="G176" s="289"/>
      <c r="H176" s="289"/>
      <c r="I176" s="289"/>
      <c r="J176" s="289"/>
      <c r="K176" s="289"/>
      <c r="L176" s="289"/>
      <c r="M176" s="289"/>
      <c r="N176" s="289"/>
      <c r="O176" s="289"/>
      <c r="P176" s="289"/>
      <c r="Q176" s="289"/>
      <c r="R176" s="289"/>
      <c r="S176" s="289"/>
      <c r="T176" s="289"/>
      <c r="U176" s="289"/>
      <c r="V176" s="289"/>
      <c r="W176" s="289"/>
      <c r="X176" s="289"/>
      <c r="Y176" s="289"/>
      <c r="Z176" s="289"/>
      <c r="AA176" s="289"/>
      <c r="AB176" s="289"/>
      <c r="AC176" s="289"/>
      <c r="AD176" s="289"/>
      <c r="AE176" s="289"/>
      <c r="AF176" s="289"/>
      <c r="AG176" s="289"/>
      <c r="AH176" s="289"/>
      <c r="AI176" s="289"/>
      <c r="AJ176" s="289"/>
      <c r="AK176" s="289"/>
      <c r="AL176" s="289"/>
      <c r="AM176" s="289"/>
      <c r="AN176" s="289"/>
      <c r="AO176" s="289"/>
      <c r="AP176" s="289"/>
      <c r="AQ176" s="289"/>
      <c r="AR176" s="289"/>
      <c r="AS176" s="289"/>
      <c r="AT176" s="289"/>
      <c r="AU176" s="289"/>
      <c r="AV176" s="289"/>
      <c r="AW176" s="289"/>
      <c r="AX176" s="289"/>
      <c r="AY176" s="289"/>
      <c r="AZ176" s="289"/>
      <c r="BA176" s="289"/>
      <c r="BB176" s="289"/>
      <c r="BC176" s="289"/>
      <c r="BD176" s="289"/>
      <c r="BE176" s="289"/>
      <c r="BF176" s="289"/>
      <c r="BG176" s="289"/>
      <c r="BH176" s="289"/>
      <c r="BI176" s="289"/>
      <c r="BJ176" s="289"/>
      <c r="BK176" s="289"/>
      <c r="BL176" s="289"/>
      <c r="BM176" s="289"/>
      <c r="BN176" s="289"/>
      <c r="BO176" s="289"/>
      <c r="BP176" s="289"/>
      <c r="BQ176" s="289"/>
      <c r="BR176" s="289"/>
      <c r="BS176" s="289"/>
      <c r="BT176" s="289"/>
      <c r="BU176" s="289"/>
      <c r="BV176" s="289"/>
    </row>
    <row r="177" spans="2:74" x14ac:dyDescent="0.2">
      <c r="B177" s="210"/>
      <c r="C177" s="210"/>
      <c r="D177" s="210"/>
      <c r="E177" s="288"/>
      <c r="F177" s="289"/>
      <c r="G177" s="289"/>
      <c r="H177" s="289"/>
      <c r="I177" s="289"/>
      <c r="J177" s="289"/>
      <c r="K177" s="289"/>
      <c r="L177" s="289"/>
      <c r="M177" s="289"/>
      <c r="N177" s="289"/>
      <c r="O177" s="289"/>
      <c r="P177" s="289"/>
      <c r="Q177" s="289"/>
      <c r="R177" s="289"/>
      <c r="S177" s="289"/>
      <c r="T177" s="289"/>
      <c r="U177" s="289"/>
      <c r="V177" s="289"/>
      <c r="W177" s="289"/>
      <c r="X177" s="289"/>
      <c r="Y177" s="289"/>
      <c r="Z177" s="289"/>
      <c r="AA177" s="289"/>
      <c r="AB177" s="289"/>
      <c r="AC177" s="289"/>
      <c r="AD177" s="289"/>
      <c r="AE177" s="289"/>
      <c r="AF177" s="289"/>
      <c r="AG177" s="289"/>
      <c r="AH177" s="289"/>
      <c r="AI177" s="289"/>
      <c r="AJ177" s="289"/>
      <c r="AK177" s="289"/>
      <c r="AL177" s="289"/>
      <c r="AM177" s="289"/>
      <c r="AN177" s="289"/>
      <c r="AO177" s="289"/>
      <c r="AP177" s="289"/>
      <c r="AQ177" s="289"/>
      <c r="AR177" s="289"/>
      <c r="AS177" s="289"/>
      <c r="AT177" s="289"/>
      <c r="AU177" s="289"/>
      <c r="AV177" s="289"/>
      <c r="AW177" s="289"/>
      <c r="AX177" s="289"/>
      <c r="AY177" s="289"/>
      <c r="AZ177" s="289"/>
      <c r="BA177" s="289"/>
      <c r="BB177" s="289"/>
      <c r="BC177" s="289"/>
      <c r="BD177" s="289"/>
      <c r="BE177" s="289"/>
      <c r="BF177" s="289"/>
      <c r="BG177" s="289"/>
      <c r="BH177" s="289"/>
      <c r="BI177" s="289"/>
      <c r="BJ177" s="289"/>
      <c r="BK177" s="289"/>
      <c r="BL177" s="289"/>
      <c r="BM177" s="289"/>
      <c r="BN177" s="289"/>
      <c r="BO177" s="289"/>
      <c r="BP177" s="289"/>
      <c r="BQ177" s="289"/>
      <c r="BR177" s="289"/>
      <c r="BS177" s="289"/>
      <c r="BT177" s="289"/>
      <c r="BU177" s="289"/>
      <c r="BV177" s="289"/>
    </row>
    <row r="178" spans="2:74" x14ac:dyDescent="0.2">
      <c r="B178" s="210"/>
      <c r="C178" s="203"/>
      <c r="D178" s="203"/>
      <c r="E178" s="288"/>
      <c r="F178" s="289"/>
      <c r="G178" s="289"/>
      <c r="H178" s="289"/>
      <c r="I178" s="289"/>
      <c r="J178" s="289"/>
      <c r="K178" s="289"/>
      <c r="L178" s="289"/>
      <c r="M178" s="289"/>
      <c r="N178" s="289"/>
      <c r="O178" s="289"/>
      <c r="P178" s="289"/>
      <c r="Q178" s="289"/>
      <c r="R178" s="289"/>
      <c r="S178" s="289"/>
      <c r="T178" s="289"/>
      <c r="U178" s="289"/>
      <c r="V178" s="289"/>
      <c r="W178" s="289"/>
      <c r="X178" s="289"/>
      <c r="Y178" s="289"/>
      <c r="Z178" s="289"/>
      <c r="AA178" s="289"/>
      <c r="AB178" s="289"/>
      <c r="AC178" s="289"/>
      <c r="AD178" s="289"/>
      <c r="AE178" s="289"/>
      <c r="AF178" s="289"/>
      <c r="AG178" s="289"/>
      <c r="AH178" s="289"/>
      <c r="AI178" s="289"/>
      <c r="AJ178" s="289"/>
      <c r="AK178" s="289"/>
      <c r="AL178" s="289"/>
      <c r="AM178" s="289"/>
      <c r="AN178" s="289"/>
      <c r="AO178" s="289"/>
      <c r="AP178" s="289"/>
      <c r="AQ178" s="289"/>
      <c r="AR178" s="289"/>
      <c r="AS178" s="289"/>
      <c r="AT178" s="289"/>
      <c r="AU178" s="289"/>
      <c r="AV178" s="289"/>
      <c r="AW178" s="289"/>
      <c r="AX178" s="289"/>
      <c r="AY178" s="289"/>
      <c r="AZ178" s="289"/>
      <c r="BA178" s="289"/>
      <c r="BB178" s="289"/>
      <c r="BC178" s="289"/>
      <c r="BD178" s="289"/>
      <c r="BE178" s="289"/>
      <c r="BF178" s="289"/>
      <c r="BG178" s="289"/>
      <c r="BH178" s="289"/>
      <c r="BI178" s="289"/>
      <c r="BJ178" s="289"/>
      <c r="BK178" s="289"/>
      <c r="BL178" s="289"/>
      <c r="BM178" s="289"/>
      <c r="BN178" s="289"/>
      <c r="BO178" s="289"/>
      <c r="BP178" s="289"/>
      <c r="BQ178" s="289"/>
      <c r="BR178" s="289"/>
      <c r="BS178" s="289"/>
      <c r="BT178" s="289"/>
      <c r="BU178" s="289"/>
      <c r="BV178" s="289"/>
    </row>
    <row r="179" spans="2:74" x14ac:dyDescent="0.2">
      <c r="C179" s="203"/>
      <c r="D179" s="203"/>
      <c r="E179" s="288"/>
      <c r="F179" s="289"/>
      <c r="G179" s="289"/>
      <c r="H179" s="289"/>
      <c r="I179" s="289"/>
      <c r="J179" s="289"/>
      <c r="K179" s="289"/>
      <c r="L179" s="289"/>
      <c r="M179" s="289"/>
      <c r="N179" s="289"/>
      <c r="O179" s="289"/>
      <c r="P179" s="289"/>
      <c r="Q179" s="289"/>
      <c r="R179" s="289"/>
      <c r="S179" s="289"/>
      <c r="T179" s="289"/>
      <c r="U179" s="289"/>
      <c r="V179" s="289"/>
      <c r="W179" s="289"/>
      <c r="X179" s="289"/>
      <c r="Y179" s="289"/>
      <c r="Z179" s="289"/>
      <c r="AA179" s="289"/>
      <c r="AB179" s="289"/>
      <c r="AC179" s="289"/>
      <c r="AD179" s="289"/>
      <c r="AE179" s="289"/>
      <c r="AF179" s="289"/>
      <c r="AG179" s="289"/>
      <c r="AH179" s="289"/>
      <c r="AI179" s="289"/>
      <c r="AJ179" s="289"/>
      <c r="AK179" s="289"/>
      <c r="AL179" s="289"/>
      <c r="AM179" s="289"/>
      <c r="AN179" s="289"/>
      <c r="AO179" s="289"/>
      <c r="AP179" s="289"/>
      <c r="AQ179" s="289"/>
      <c r="AR179" s="289"/>
      <c r="AS179" s="289"/>
      <c r="AT179" s="289"/>
      <c r="AU179" s="289"/>
      <c r="AV179" s="289"/>
      <c r="AW179" s="289"/>
      <c r="AX179" s="289"/>
      <c r="AY179" s="289"/>
      <c r="AZ179" s="289"/>
      <c r="BA179" s="289"/>
      <c r="BB179" s="289"/>
      <c r="BC179" s="289"/>
      <c r="BD179" s="289"/>
      <c r="BE179" s="289"/>
      <c r="BF179" s="289"/>
      <c r="BG179" s="289"/>
      <c r="BH179" s="289"/>
      <c r="BI179" s="289"/>
      <c r="BJ179" s="289"/>
      <c r="BK179" s="289"/>
      <c r="BL179" s="289"/>
      <c r="BM179" s="289"/>
      <c r="BN179" s="289"/>
      <c r="BO179" s="289"/>
      <c r="BP179" s="289"/>
      <c r="BQ179" s="289"/>
      <c r="BR179" s="289"/>
      <c r="BS179" s="289"/>
      <c r="BT179" s="289"/>
      <c r="BU179" s="289"/>
      <c r="BV179" s="289"/>
    </row>
    <row r="180" spans="2:74" x14ac:dyDescent="0.2">
      <c r="B180" s="210"/>
      <c r="C180" s="203"/>
      <c r="D180" s="203"/>
      <c r="E180" s="288"/>
      <c r="F180" s="289"/>
      <c r="G180" s="289"/>
      <c r="H180" s="289"/>
      <c r="I180" s="289"/>
      <c r="J180" s="289"/>
      <c r="K180" s="289"/>
      <c r="L180" s="289"/>
      <c r="M180" s="289"/>
      <c r="N180" s="289"/>
      <c r="O180" s="289"/>
      <c r="P180" s="289"/>
      <c r="Q180" s="289"/>
      <c r="R180" s="289"/>
      <c r="S180" s="289"/>
      <c r="T180" s="289"/>
      <c r="U180" s="289"/>
      <c r="V180" s="289"/>
      <c r="W180" s="289"/>
      <c r="X180" s="289"/>
      <c r="Y180" s="289"/>
      <c r="Z180" s="289"/>
      <c r="AA180" s="289"/>
      <c r="AB180" s="289"/>
      <c r="AC180" s="289"/>
      <c r="AD180" s="289"/>
      <c r="AE180" s="289"/>
      <c r="AF180" s="289"/>
      <c r="AG180" s="289"/>
      <c r="AH180" s="289"/>
      <c r="AI180" s="289"/>
      <c r="AJ180" s="289"/>
      <c r="AK180" s="289"/>
      <c r="AL180" s="289"/>
      <c r="AM180" s="289"/>
      <c r="AN180" s="289"/>
      <c r="AO180" s="289"/>
      <c r="AP180" s="289"/>
      <c r="AQ180" s="289"/>
      <c r="AR180" s="289"/>
      <c r="AS180" s="289"/>
      <c r="AT180" s="289"/>
      <c r="AU180" s="289"/>
      <c r="AV180" s="289"/>
      <c r="AW180" s="289"/>
      <c r="AX180" s="289"/>
      <c r="AY180" s="289"/>
      <c r="AZ180" s="289"/>
      <c r="BA180" s="289"/>
      <c r="BB180" s="289"/>
      <c r="BC180" s="289"/>
      <c r="BD180" s="289"/>
      <c r="BE180" s="289"/>
      <c r="BF180" s="289"/>
      <c r="BG180" s="289"/>
      <c r="BH180" s="289"/>
      <c r="BI180" s="289"/>
      <c r="BJ180" s="289"/>
      <c r="BK180" s="289"/>
      <c r="BL180" s="289"/>
      <c r="BM180" s="289"/>
      <c r="BN180" s="289"/>
      <c r="BO180" s="289"/>
      <c r="BP180" s="289"/>
      <c r="BQ180" s="289"/>
      <c r="BR180" s="289"/>
      <c r="BS180" s="289"/>
      <c r="BT180" s="289"/>
      <c r="BU180" s="289"/>
      <c r="BV180" s="289"/>
    </row>
    <row r="181" spans="2:74" x14ac:dyDescent="0.2">
      <c r="B181" s="210"/>
      <c r="C181" s="203"/>
      <c r="D181" s="203"/>
      <c r="E181" s="288"/>
      <c r="F181" s="289"/>
      <c r="G181" s="289"/>
      <c r="H181" s="289"/>
      <c r="I181" s="289"/>
      <c r="J181" s="289"/>
      <c r="K181" s="289"/>
      <c r="L181" s="289"/>
      <c r="M181" s="289"/>
      <c r="N181" s="289"/>
      <c r="O181" s="289"/>
      <c r="P181" s="289"/>
      <c r="Q181" s="289"/>
      <c r="R181" s="289"/>
      <c r="S181" s="289"/>
      <c r="T181" s="289"/>
      <c r="U181" s="289"/>
      <c r="V181" s="289"/>
      <c r="W181" s="289"/>
      <c r="X181" s="289"/>
      <c r="Y181" s="289"/>
      <c r="Z181" s="289"/>
      <c r="AA181" s="289"/>
      <c r="AB181" s="289"/>
      <c r="AC181" s="289"/>
      <c r="AD181" s="289"/>
      <c r="AE181" s="289"/>
      <c r="AF181" s="289"/>
      <c r="AG181" s="289"/>
      <c r="AH181" s="289"/>
      <c r="AI181" s="289"/>
      <c r="AJ181" s="289"/>
      <c r="AK181" s="289"/>
      <c r="AL181" s="289"/>
      <c r="AM181" s="289"/>
      <c r="AN181" s="289"/>
      <c r="AO181" s="289"/>
      <c r="AP181" s="289"/>
      <c r="AQ181" s="289"/>
      <c r="AR181" s="289"/>
      <c r="AS181" s="289"/>
      <c r="AT181" s="289"/>
      <c r="AU181" s="289"/>
      <c r="AV181" s="289"/>
      <c r="AW181" s="289"/>
      <c r="AX181" s="289"/>
      <c r="AY181" s="289"/>
      <c r="AZ181" s="289"/>
      <c r="BA181" s="289"/>
      <c r="BB181" s="289"/>
      <c r="BC181" s="289"/>
      <c r="BD181" s="289"/>
      <c r="BE181" s="289"/>
      <c r="BF181" s="289"/>
      <c r="BG181" s="289"/>
      <c r="BH181" s="289"/>
      <c r="BI181" s="289"/>
      <c r="BJ181" s="289"/>
      <c r="BK181" s="289"/>
      <c r="BL181" s="289"/>
      <c r="BM181" s="289"/>
      <c r="BN181" s="289"/>
      <c r="BO181" s="289"/>
      <c r="BP181" s="289"/>
      <c r="BQ181" s="289"/>
      <c r="BR181" s="289"/>
      <c r="BS181" s="289"/>
      <c r="BT181" s="289"/>
      <c r="BU181" s="289"/>
      <c r="BV181" s="289"/>
    </row>
    <row r="182" spans="2:74" x14ac:dyDescent="0.2">
      <c r="B182" s="210"/>
      <c r="C182" s="203"/>
      <c r="D182" s="203"/>
      <c r="E182" s="288"/>
      <c r="F182" s="289"/>
      <c r="G182" s="289"/>
      <c r="H182" s="289"/>
      <c r="I182" s="289"/>
      <c r="J182" s="289"/>
      <c r="K182" s="289"/>
      <c r="L182" s="289"/>
      <c r="M182" s="289"/>
      <c r="N182" s="289"/>
      <c r="O182" s="289"/>
      <c r="P182" s="289"/>
      <c r="Q182" s="289"/>
      <c r="R182" s="289"/>
      <c r="S182" s="289"/>
      <c r="T182" s="289"/>
      <c r="U182" s="289"/>
      <c r="V182" s="289"/>
      <c r="W182" s="289"/>
      <c r="X182" s="289"/>
      <c r="Y182" s="289"/>
      <c r="Z182" s="289"/>
      <c r="AA182" s="289"/>
      <c r="AB182" s="289"/>
      <c r="AC182" s="289"/>
      <c r="AD182" s="289"/>
      <c r="AE182" s="289"/>
      <c r="AF182" s="289"/>
      <c r="AG182" s="289"/>
      <c r="AH182" s="289"/>
      <c r="AI182" s="289"/>
      <c r="AJ182" s="289"/>
      <c r="AK182" s="289"/>
      <c r="AL182" s="289"/>
      <c r="AM182" s="289"/>
      <c r="AN182" s="289"/>
      <c r="AO182" s="289"/>
      <c r="AP182" s="289"/>
      <c r="AQ182" s="289"/>
      <c r="AR182" s="289"/>
      <c r="AS182" s="289"/>
      <c r="AT182" s="289"/>
      <c r="AU182" s="289"/>
      <c r="AV182" s="289"/>
      <c r="AW182" s="289"/>
      <c r="AX182" s="289"/>
      <c r="AY182" s="289"/>
      <c r="AZ182" s="289"/>
      <c r="BA182" s="289"/>
      <c r="BB182" s="289"/>
      <c r="BC182" s="289"/>
      <c r="BD182" s="289"/>
      <c r="BE182" s="289"/>
      <c r="BF182" s="289"/>
      <c r="BG182" s="289"/>
      <c r="BH182" s="289"/>
      <c r="BI182" s="289"/>
      <c r="BJ182" s="289"/>
      <c r="BK182" s="289"/>
      <c r="BL182" s="289"/>
      <c r="BM182" s="289"/>
      <c r="BN182" s="289"/>
      <c r="BO182" s="289"/>
      <c r="BP182" s="289"/>
      <c r="BQ182" s="289"/>
      <c r="BR182" s="289"/>
      <c r="BS182" s="289"/>
      <c r="BT182" s="289"/>
      <c r="BU182" s="289"/>
      <c r="BV182" s="289"/>
    </row>
    <row r="183" spans="2:74" x14ac:dyDescent="0.2">
      <c r="B183" s="210"/>
      <c r="C183" s="203"/>
      <c r="D183" s="203"/>
      <c r="E183" s="288"/>
      <c r="F183" s="289"/>
      <c r="G183" s="289"/>
      <c r="H183" s="289"/>
      <c r="I183" s="289"/>
      <c r="J183" s="289"/>
      <c r="K183" s="289"/>
      <c r="L183" s="289"/>
      <c r="M183" s="289"/>
      <c r="N183" s="289"/>
      <c r="O183" s="289"/>
      <c r="P183" s="289"/>
      <c r="Q183" s="289"/>
      <c r="R183" s="289"/>
      <c r="S183" s="289"/>
      <c r="T183" s="289"/>
      <c r="U183" s="289"/>
      <c r="V183" s="289"/>
      <c r="W183" s="289"/>
      <c r="X183" s="289"/>
      <c r="Y183" s="289"/>
      <c r="Z183" s="289"/>
      <c r="AA183" s="289"/>
      <c r="AB183" s="289"/>
      <c r="AC183" s="289"/>
      <c r="AD183" s="289"/>
      <c r="AE183" s="289"/>
      <c r="AF183" s="289"/>
      <c r="AG183" s="289"/>
      <c r="AH183" s="289"/>
      <c r="AI183" s="289"/>
      <c r="AJ183" s="289"/>
      <c r="AK183" s="289"/>
      <c r="AL183" s="289"/>
      <c r="AM183" s="289"/>
      <c r="AN183" s="289"/>
      <c r="AO183" s="289"/>
      <c r="AP183" s="289"/>
      <c r="AQ183" s="289"/>
      <c r="AR183" s="289"/>
      <c r="AS183" s="289"/>
      <c r="AT183" s="289"/>
      <c r="AU183" s="289"/>
      <c r="AV183" s="289"/>
      <c r="AW183" s="289"/>
      <c r="AX183" s="289"/>
      <c r="AY183" s="289"/>
      <c r="AZ183" s="289"/>
      <c r="BA183" s="289"/>
      <c r="BB183" s="289"/>
      <c r="BC183" s="289"/>
      <c r="BD183" s="289"/>
      <c r="BE183" s="289"/>
      <c r="BF183" s="289"/>
      <c r="BG183" s="289"/>
      <c r="BH183" s="289"/>
      <c r="BI183" s="289"/>
      <c r="BJ183" s="289"/>
      <c r="BK183" s="289"/>
      <c r="BL183" s="289"/>
      <c r="BM183" s="289"/>
      <c r="BN183" s="289"/>
      <c r="BO183" s="289"/>
      <c r="BP183" s="289"/>
      <c r="BQ183" s="289"/>
      <c r="BR183" s="289"/>
      <c r="BS183" s="289"/>
      <c r="BT183" s="289"/>
      <c r="BU183" s="289"/>
      <c r="BV183" s="289"/>
    </row>
    <row r="184" spans="2:74" x14ac:dyDescent="0.2">
      <c r="B184" s="210"/>
      <c r="C184" s="203"/>
      <c r="D184" s="203"/>
      <c r="E184" s="288"/>
      <c r="F184" s="289"/>
      <c r="G184" s="289"/>
      <c r="H184" s="289"/>
      <c r="I184" s="289"/>
      <c r="J184" s="289"/>
      <c r="K184" s="289"/>
      <c r="L184" s="289"/>
      <c r="M184" s="289"/>
      <c r="N184" s="289"/>
      <c r="O184" s="289"/>
      <c r="P184" s="289"/>
      <c r="Q184" s="289"/>
      <c r="R184" s="289"/>
      <c r="S184" s="289"/>
      <c r="T184" s="289"/>
      <c r="U184" s="289"/>
      <c r="V184" s="289"/>
      <c r="W184" s="289"/>
      <c r="X184" s="289"/>
      <c r="Y184" s="289"/>
      <c r="Z184" s="289"/>
      <c r="AA184" s="289"/>
      <c r="AB184" s="289"/>
      <c r="AC184" s="289"/>
      <c r="AD184" s="289"/>
      <c r="AE184" s="289"/>
      <c r="AF184" s="289"/>
      <c r="AG184" s="289"/>
      <c r="AH184" s="289"/>
      <c r="AI184" s="289"/>
      <c r="AJ184" s="289"/>
      <c r="AK184" s="289"/>
      <c r="AL184" s="289"/>
      <c r="AM184" s="289"/>
      <c r="AN184" s="289"/>
      <c r="AO184" s="289"/>
      <c r="AP184" s="289"/>
      <c r="AQ184" s="289"/>
      <c r="AR184" s="289"/>
      <c r="AS184" s="289"/>
      <c r="AT184" s="289"/>
      <c r="AU184" s="289"/>
      <c r="AV184" s="289"/>
      <c r="AW184" s="289"/>
      <c r="AX184" s="289"/>
      <c r="AY184" s="289"/>
      <c r="AZ184" s="289"/>
      <c r="BA184" s="289"/>
      <c r="BB184" s="289"/>
      <c r="BC184" s="289"/>
      <c r="BD184" s="289"/>
      <c r="BE184" s="289"/>
      <c r="BF184" s="289"/>
      <c r="BG184" s="289"/>
      <c r="BH184" s="289"/>
      <c r="BI184" s="289"/>
      <c r="BJ184" s="289"/>
      <c r="BK184" s="289"/>
      <c r="BL184" s="289"/>
      <c r="BM184" s="289"/>
      <c r="BN184" s="289"/>
      <c r="BO184" s="289"/>
      <c r="BP184" s="289"/>
      <c r="BQ184" s="289"/>
      <c r="BR184" s="289"/>
      <c r="BS184" s="289"/>
      <c r="BT184" s="289"/>
      <c r="BU184" s="289"/>
      <c r="BV184" s="289"/>
    </row>
    <row r="185" spans="2:74" x14ac:dyDescent="0.2">
      <c r="B185" s="210"/>
      <c r="C185" s="203"/>
      <c r="D185" s="203"/>
      <c r="E185" s="288"/>
      <c r="F185" s="289"/>
      <c r="G185" s="289"/>
      <c r="H185" s="289"/>
      <c r="I185" s="289"/>
      <c r="J185" s="289"/>
      <c r="K185" s="289"/>
      <c r="L185" s="289"/>
      <c r="M185" s="289"/>
      <c r="N185" s="289"/>
      <c r="O185" s="289"/>
      <c r="P185" s="289"/>
      <c r="Q185" s="289"/>
      <c r="R185" s="289"/>
      <c r="S185" s="289"/>
      <c r="T185" s="289"/>
      <c r="U185" s="289"/>
      <c r="V185" s="289"/>
      <c r="W185" s="289"/>
      <c r="X185" s="289"/>
      <c r="Y185" s="289"/>
      <c r="Z185" s="289"/>
      <c r="AA185" s="289"/>
      <c r="AB185" s="289"/>
      <c r="AC185" s="289"/>
      <c r="AD185" s="289"/>
      <c r="AE185" s="289"/>
      <c r="AF185" s="289"/>
      <c r="AG185" s="289"/>
      <c r="AH185" s="289"/>
      <c r="AI185" s="289"/>
      <c r="AJ185" s="289"/>
      <c r="AK185" s="289"/>
      <c r="AL185" s="289"/>
      <c r="AM185" s="289"/>
      <c r="AN185" s="289"/>
      <c r="AO185" s="289"/>
      <c r="AP185" s="289"/>
      <c r="AQ185" s="289"/>
      <c r="AR185" s="289"/>
      <c r="AS185" s="289"/>
      <c r="AT185" s="289"/>
      <c r="AU185" s="289"/>
      <c r="AV185" s="289"/>
      <c r="AW185" s="289"/>
      <c r="AX185" s="289"/>
      <c r="AY185" s="289"/>
      <c r="AZ185" s="289"/>
      <c r="BA185" s="289"/>
      <c r="BB185" s="289"/>
      <c r="BC185" s="289"/>
      <c r="BD185" s="289"/>
      <c r="BE185" s="289"/>
      <c r="BF185" s="289"/>
      <c r="BG185" s="289"/>
      <c r="BH185" s="289"/>
      <c r="BI185" s="289"/>
      <c r="BJ185" s="289"/>
      <c r="BK185" s="289"/>
      <c r="BL185" s="289"/>
      <c r="BM185" s="289"/>
      <c r="BN185" s="289"/>
      <c r="BO185" s="289"/>
      <c r="BP185" s="289"/>
      <c r="BQ185" s="289"/>
      <c r="BR185" s="289"/>
      <c r="BS185" s="289"/>
      <c r="BT185" s="289"/>
      <c r="BU185" s="289"/>
      <c r="BV185" s="289"/>
    </row>
    <row r="186" spans="2:74" x14ac:dyDescent="0.2">
      <c r="B186" s="210"/>
      <c r="C186" s="203"/>
      <c r="D186" s="203"/>
      <c r="E186" s="288"/>
      <c r="F186" s="289"/>
      <c r="G186" s="289"/>
      <c r="H186" s="289"/>
      <c r="I186" s="289"/>
      <c r="J186" s="289"/>
      <c r="K186" s="289"/>
      <c r="L186" s="289"/>
      <c r="M186" s="289"/>
      <c r="N186" s="289"/>
      <c r="O186" s="289"/>
      <c r="P186" s="289"/>
      <c r="Q186" s="289"/>
      <c r="R186" s="289"/>
      <c r="S186" s="289"/>
      <c r="T186" s="289"/>
      <c r="U186" s="289"/>
      <c r="V186" s="289"/>
      <c r="W186" s="289"/>
      <c r="X186" s="289"/>
      <c r="Y186" s="289"/>
      <c r="Z186" s="289"/>
      <c r="AA186" s="289"/>
      <c r="AB186" s="289"/>
      <c r="AC186" s="289"/>
      <c r="AD186" s="289"/>
      <c r="AE186" s="289"/>
      <c r="AF186" s="289"/>
      <c r="AG186" s="289"/>
      <c r="AH186" s="289"/>
      <c r="AI186" s="289"/>
      <c r="AJ186" s="289"/>
      <c r="AK186" s="289"/>
      <c r="AL186" s="289"/>
      <c r="AM186" s="289"/>
      <c r="AN186" s="289"/>
      <c r="AO186" s="289"/>
      <c r="AP186" s="289"/>
      <c r="AQ186" s="289"/>
      <c r="AR186" s="289"/>
      <c r="AS186" s="289"/>
      <c r="AT186" s="289"/>
      <c r="AU186" s="289"/>
      <c r="AV186" s="289"/>
      <c r="AW186" s="289"/>
      <c r="AX186" s="289"/>
      <c r="AY186" s="289"/>
      <c r="AZ186" s="289"/>
      <c r="BA186" s="289"/>
      <c r="BB186" s="289"/>
      <c r="BC186" s="289"/>
      <c r="BD186" s="289"/>
      <c r="BE186" s="289"/>
      <c r="BF186" s="289"/>
      <c r="BG186" s="289"/>
      <c r="BH186" s="289"/>
      <c r="BI186" s="289"/>
      <c r="BJ186" s="289"/>
      <c r="BK186" s="289"/>
      <c r="BL186" s="289"/>
      <c r="BM186" s="289"/>
      <c r="BN186" s="289"/>
      <c r="BO186" s="289"/>
      <c r="BP186" s="289"/>
      <c r="BQ186" s="289"/>
      <c r="BR186" s="289"/>
      <c r="BS186" s="289"/>
      <c r="BT186" s="289"/>
      <c r="BU186" s="289"/>
      <c r="BV186" s="289"/>
    </row>
    <row r="187" spans="2:74" x14ac:dyDescent="0.2">
      <c r="B187" s="210"/>
      <c r="C187" s="203"/>
      <c r="D187" s="203"/>
      <c r="E187" s="288"/>
      <c r="F187" s="289"/>
      <c r="G187" s="289"/>
      <c r="H187" s="289"/>
      <c r="I187" s="289"/>
      <c r="J187" s="289"/>
      <c r="K187" s="289"/>
      <c r="L187" s="289"/>
      <c r="M187" s="289"/>
      <c r="N187" s="289"/>
      <c r="O187" s="289"/>
      <c r="P187" s="289"/>
      <c r="Q187" s="289"/>
      <c r="R187" s="289"/>
      <c r="S187" s="289"/>
      <c r="T187" s="289"/>
      <c r="U187" s="289"/>
      <c r="V187" s="289"/>
      <c r="W187" s="289"/>
      <c r="X187" s="289"/>
      <c r="Y187" s="289"/>
      <c r="Z187" s="289"/>
      <c r="AA187" s="289"/>
      <c r="AB187" s="289"/>
      <c r="AC187" s="289"/>
      <c r="AD187" s="289"/>
      <c r="AE187" s="289"/>
      <c r="AF187" s="289"/>
      <c r="AG187" s="289"/>
      <c r="AH187" s="289"/>
      <c r="AI187" s="289"/>
      <c r="AJ187" s="289"/>
      <c r="AK187" s="289"/>
      <c r="AL187" s="289"/>
      <c r="AM187" s="289"/>
      <c r="AN187" s="289"/>
      <c r="AO187" s="289"/>
      <c r="AP187" s="289"/>
      <c r="AQ187" s="289"/>
      <c r="AR187" s="289"/>
      <c r="AS187" s="289"/>
      <c r="AT187" s="289"/>
      <c r="AU187" s="289"/>
      <c r="AV187" s="289"/>
      <c r="AW187" s="289"/>
      <c r="AX187" s="289"/>
      <c r="AY187" s="289"/>
      <c r="AZ187" s="289"/>
      <c r="BA187" s="289"/>
      <c r="BB187" s="289"/>
      <c r="BC187" s="289"/>
      <c r="BD187" s="289"/>
      <c r="BE187" s="289"/>
      <c r="BF187" s="289"/>
      <c r="BG187" s="289"/>
      <c r="BH187" s="289"/>
      <c r="BI187" s="289"/>
      <c r="BJ187" s="289"/>
      <c r="BK187" s="289"/>
      <c r="BL187" s="289"/>
      <c r="BM187" s="289"/>
      <c r="BN187" s="289"/>
      <c r="BO187" s="289"/>
      <c r="BP187" s="289"/>
      <c r="BQ187" s="289"/>
      <c r="BR187" s="289"/>
      <c r="BS187" s="289"/>
      <c r="BT187" s="289"/>
      <c r="BU187" s="289"/>
      <c r="BV187" s="289"/>
    </row>
    <row r="188" spans="2:74" x14ac:dyDescent="0.2">
      <c r="B188" s="210"/>
      <c r="C188" s="203"/>
      <c r="D188" s="203"/>
      <c r="E188" s="288"/>
      <c r="F188" s="289"/>
      <c r="G188" s="289"/>
      <c r="H188" s="289"/>
      <c r="I188" s="289"/>
      <c r="J188" s="289"/>
      <c r="K188" s="289"/>
      <c r="L188" s="289"/>
      <c r="M188" s="289"/>
      <c r="N188" s="289"/>
      <c r="O188" s="289"/>
      <c r="P188" s="289"/>
      <c r="Q188" s="289"/>
      <c r="R188" s="289"/>
      <c r="S188" s="289"/>
      <c r="T188" s="289"/>
      <c r="U188" s="289"/>
      <c r="V188" s="289"/>
      <c r="W188" s="289"/>
      <c r="X188" s="289"/>
      <c r="Y188" s="289"/>
      <c r="Z188" s="289"/>
      <c r="AA188" s="289"/>
      <c r="AB188" s="289"/>
      <c r="AC188" s="289"/>
      <c r="AD188" s="289"/>
      <c r="AE188" s="289"/>
      <c r="AF188" s="289"/>
      <c r="AG188" s="289"/>
      <c r="AH188" s="289"/>
      <c r="AI188" s="289"/>
      <c r="AJ188" s="289"/>
      <c r="AK188" s="289"/>
      <c r="AL188" s="289"/>
      <c r="AM188" s="289"/>
      <c r="AN188" s="289"/>
      <c r="AO188" s="289"/>
      <c r="AP188" s="289"/>
      <c r="AQ188" s="289"/>
      <c r="AR188" s="289"/>
      <c r="AS188" s="289"/>
      <c r="AT188" s="289"/>
      <c r="AU188" s="289"/>
      <c r="AV188" s="289"/>
      <c r="AW188" s="289"/>
      <c r="AX188" s="289"/>
      <c r="AY188" s="289"/>
      <c r="AZ188" s="289"/>
      <c r="BA188" s="289"/>
      <c r="BB188" s="289"/>
      <c r="BC188" s="289"/>
      <c r="BD188" s="289"/>
      <c r="BE188" s="289"/>
      <c r="BF188" s="289"/>
      <c r="BG188" s="289"/>
      <c r="BH188" s="289"/>
      <c r="BI188" s="289"/>
      <c r="BJ188" s="289"/>
      <c r="BK188" s="289"/>
      <c r="BL188" s="289"/>
      <c r="BM188" s="289"/>
      <c r="BN188" s="289"/>
      <c r="BO188" s="289"/>
      <c r="BP188" s="289"/>
      <c r="BQ188" s="289"/>
      <c r="BR188" s="289"/>
      <c r="BS188" s="289"/>
      <c r="BT188" s="289"/>
      <c r="BU188" s="289"/>
      <c r="BV188" s="289"/>
    </row>
    <row r="189" spans="2:74" x14ac:dyDescent="0.2">
      <c r="B189" s="210"/>
      <c r="C189" s="210"/>
      <c r="D189" s="210"/>
      <c r="E189" s="288"/>
      <c r="F189" s="289"/>
      <c r="G189" s="289"/>
      <c r="H189" s="289"/>
      <c r="I189" s="289"/>
      <c r="J189" s="289"/>
      <c r="K189" s="289"/>
      <c r="L189" s="289"/>
      <c r="M189" s="289"/>
      <c r="N189" s="289"/>
      <c r="O189" s="289"/>
      <c r="P189" s="289"/>
      <c r="Q189" s="289"/>
      <c r="R189" s="289"/>
      <c r="S189" s="289"/>
      <c r="T189" s="289"/>
      <c r="U189" s="289"/>
      <c r="V189" s="289"/>
      <c r="W189" s="289"/>
      <c r="X189" s="289"/>
      <c r="Y189" s="289"/>
      <c r="Z189" s="289"/>
      <c r="AA189" s="289"/>
      <c r="AB189" s="289"/>
      <c r="AC189" s="289"/>
      <c r="AD189" s="289"/>
      <c r="AE189" s="289"/>
      <c r="AF189" s="289"/>
      <c r="AG189" s="289"/>
      <c r="AH189" s="289"/>
      <c r="AI189" s="289"/>
      <c r="AJ189" s="289"/>
      <c r="AK189" s="289"/>
      <c r="AL189" s="289"/>
      <c r="AM189" s="289"/>
      <c r="AN189" s="289"/>
      <c r="AO189" s="289"/>
      <c r="AP189" s="289"/>
      <c r="AQ189" s="289"/>
      <c r="AR189" s="289"/>
      <c r="AS189" s="289"/>
      <c r="AT189" s="289"/>
      <c r="AU189" s="289"/>
      <c r="AV189" s="289"/>
      <c r="AW189" s="289"/>
      <c r="AX189" s="289"/>
      <c r="AY189" s="289"/>
      <c r="AZ189" s="289"/>
      <c r="BA189" s="289"/>
      <c r="BB189" s="289"/>
      <c r="BC189" s="289"/>
      <c r="BD189" s="289"/>
      <c r="BE189" s="289"/>
      <c r="BF189" s="289"/>
      <c r="BG189" s="289"/>
      <c r="BH189" s="289"/>
      <c r="BI189" s="289"/>
      <c r="BJ189" s="289"/>
      <c r="BK189" s="289"/>
      <c r="BL189" s="289"/>
      <c r="BM189" s="289"/>
      <c r="BN189" s="289"/>
      <c r="BO189" s="289"/>
      <c r="BP189" s="289"/>
      <c r="BQ189" s="289"/>
      <c r="BR189" s="289"/>
      <c r="BS189" s="289"/>
      <c r="BT189" s="289"/>
      <c r="BU189" s="289"/>
      <c r="BV189" s="289"/>
    </row>
    <row r="190" spans="2:74" x14ac:dyDescent="0.2">
      <c r="B190" s="210"/>
      <c r="C190" s="203"/>
      <c r="D190" s="203"/>
      <c r="E190" s="288"/>
      <c r="F190" s="289"/>
      <c r="G190" s="289"/>
      <c r="H190" s="289"/>
      <c r="I190" s="289"/>
      <c r="J190" s="289"/>
      <c r="K190" s="289"/>
      <c r="L190" s="289"/>
      <c r="M190" s="289"/>
      <c r="N190" s="289"/>
      <c r="O190" s="289"/>
      <c r="P190" s="289"/>
      <c r="Q190" s="289"/>
      <c r="R190" s="289"/>
      <c r="S190" s="289"/>
      <c r="T190" s="289"/>
      <c r="U190" s="289"/>
      <c r="V190" s="289"/>
      <c r="W190" s="289"/>
      <c r="X190" s="289"/>
      <c r="Y190" s="289"/>
      <c r="Z190" s="289"/>
      <c r="AA190" s="289"/>
      <c r="AB190" s="289"/>
      <c r="AC190" s="289"/>
      <c r="AD190" s="289"/>
      <c r="AE190" s="289"/>
      <c r="AF190" s="289"/>
      <c r="AG190" s="289"/>
      <c r="AH190" s="289"/>
      <c r="AI190" s="289"/>
      <c r="AJ190" s="289"/>
      <c r="AK190" s="289"/>
      <c r="AL190" s="289"/>
      <c r="AM190" s="289"/>
      <c r="AN190" s="289"/>
      <c r="AO190" s="289"/>
      <c r="AP190" s="289"/>
      <c r="AQ190" s="289"/>
      <c r="AR190" s="289"/>
      <c r="AS190" s="289"/>
      <c r="AT190" s="289"/>
      <c r="AU190" s="289"/>
      <c r="AV190" s="289"/>
      <c r="AW190" s="289"/>
      <c r="AX190" s="289"/>
      <c r="AY190" s="289"/>
      <c r="AZ190" s="289"/>
      <c r="BA190" s="289"/>
      <c r="BB190" s="289"/>
      <c r="BC190" s="289"/>
      <c r="BD190" s="289"/>
      <c r="BE190" s="289"/>
      <c r="BF190" s="289"/>
      <c r="BG190" s="289"/>
      <c r="BH190" s="289"/>
      <c r="BI190" s="289"/>
      <c r="BJ190" s="289"/>
      <c r="BK190" s="289"/>
      <c r="BL190" s="289"/>
      <c r="BM190" s="289"/>
      <c r="BN190" s="289"/>
      <c r="BO190" s="289"/>
      <c r="BP190" s="289"/>
      <c r="BQ190" s="289"/>
      <c r="BR190" s="289"/>
      <c r="BS190" s="289"/>
      <c r="BT190" s="289"/>
      <c r="BU190" s="289"/>
      <c r="BV190" s="289"/>
    </row>
    <row r="191" spans="2:74" x14ac:dyDescent="0.2">
      <c r="B191" s="210"/>
      <c r="C191" s="203"/>
      <c r="D191" s="203"/>
      <c r="E191" s="288"/>
      <c r="F191" s="289"/>
      <c r="G191" s="289"/>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89"/>
      <c r="AY191" s="289"/>
      <c r="AZ191" s="289"/>
      <c r="BA191" s="289"/>
      <c r="BB191" s="289"/>
      <c r="BC191" s="289"/>
      <c r="BD191" s="289"/>
      <c r="BE191" s="289"/>
      <c r="BF191" s="289"/>
      <c r="BG191" s="289"/>
      <c r="BH191" s="289"/>
      <c r="BI191" s="289"/>
      <c r="BJ191" s="289"/>
      <c r="BK191" s="289"/>
      <c r="BL191" s="289"/>
      <c r="BM191" s="289"/>
      <c r="BN191" s="289"/>
      <c r="BO191" s="289"/>
      <c r="BP191" s="289"/>
      <c r="BQ191" s="289"/>
      <c r="BR191" s="289"/>
      <c r="BS191" s="289"/>
      <c r="BT191" s="289"/>
      <c r="BU191" s="289"/>
      <c r="BV191" s="289"/>
    </row>
    <row r="192" spans="2:74" x14ac:dyDescent="0.2">
      <c r="B192" s="210"/>
      <c r="C192" s="203"/>
      <c r="D192" s="203"/>
      <c r="E192" s="288"/>
      <c r="F192" s="289"/>
      <c r="G192" s="289"/>
      <c r="H192" s="289"/>
      <c r="I192" s="289"/>
      <c r="J192" s="289"/>
      <c r="K192" s="289"/>
      <c r="L192" s="289"/>
      <c r="M192" s="289"/>
      <c r="N192" s="289"/>
      <c r="O192" s="289"/>
      <c r="P192" s="289"/>
      <c r="Q192" s="289"/>
      <c r="R192" s="289"/>
      <c r="S192" s="289"/>
      <c r="T192" s="289"/>
      <c r="U192" s="289"/>
      <c r="V192" s="289"/>
      <c r="W192" s="289"/>
      <c r="X192" s="289"/>
      <c r="Y192" s="289"/>
      <c r="Z192" s="289"/>
      <c r="AA192" s="289"/>
      <c r="AB192" s="289"/>
      <c r="AC192" s="289"/>
      <c r="AD192" s="289"/>
      <c r="AE192" s="289"/>
      <c r="AF192" s="289"/>
      <c r="AG192" s="289"/>
      <c r="AH192" s="289"/>
      <c r="AI192" s="289"/>
      <c r="AJ192" s="289"/>
      <c r="AK192" s="289"/>
      <c r="AL192" s="289"/>
      <c r="AM192" s="289"/>
      <c r="AN192" s="289"/>
      <c r="AO192" s="289"/>
      <c r="AP192" s="289"/>
      <c r="AQ192" s="289"/>
      <c r="AR192" s="289"/>
      <c r="AS192" s="289"/>
      <c r="AT192" s="289"/>
      <c r="AU192" s="289"/>
      <c r="AV192" s="289"/>
      <c r="AW192" s="289"/>
      <c r="AX192" s="289"/>
      <c r="AY192" s="289"/>
      <c r="AZ192" s="289"/>
      <c r="BA192" s="289"/>
      <c r="BB192" s="289"/>
      <c r="BC192" s="289"/>
      <c r="BD192" s="289"/>
      <c r="BE192" s="289"/>
      <c r="BF192" s="289"/>
      <c r="BG192" s="289"/>
      <c r="BH192" s="289"/>
      <c r="BI192" s="289"/>
      <c r="BJ192" s="289"/>
      <c r="BK192" s="289"/>
      <c r="BL192" s="289"/>
      <c r="BM192" s="289"/>
      <c r="BN192" s="289"/>
      <c r="BO192" s="289"/>
      <c r="BP192" s="289"/>
      <c r="BQ192" s="289"/>
      <c r="BR192" s="289"/>
      <c r="BS192" s="289"/>
      <c r="BT192" s="289"/>
      <c r="BU192" s="289"/>
      <c r="BV192" s="289"/>
    </row>
    <row r="193" spans="2:74" x14ac:dyDescent="0.2">
      <c r="B193" s="210"/>
      <c r="C193" s="203"/>
      <c r="D193" s="203"/>
      <c r="E193" s="288"/>
      <c r="F193" s="289"/>
      <c r="G193" s="289"/>
      <c r="H193" s="289"/>
      <c r="I193" s="289"/>
      <c r="J193" s="289"/>
      <c r="K193" s="289"/>
      <c r="L193" s="289"/>
      <c r="M193" s="289"/>
      <c r="N193" s="289"/>
      <c r="O193" s="289"/>
      <c r="P193" s="289"/>
      <c r="Q193" s="289"/>
      <c r="R193" s="289"/>
      <c r="S193" s="289"/>
      <c r="T193" s="289"/>
      <c r="U193" s="289"/>
      <c r="V193" s="289"/>
      <c r="W193" s="289"/>
      <c r="X193" s="289"/>
      <c r="Y193" s="289"/>
      <c r="Z193" s="289"/>
      <c r="AA193" s="289"/>
      <c r="AB193" s="289"/>
      <c r="AC193" s="289"/>
      <c r="AD193" s="289"/>
      <c r="AE193" s="289"/>
      <c r="AF193" s="289"/>
      <c r="AG193" s="289"/>
      <c r="AH193" s="289"/>
      <c r="AI193" s="289"/>
      <c r="AJ193" s="289"/>
      <c r="AK193" s="289"/>
      <c r="AL193" s="289"/>
      <c r="AM193" s="289"/>
      <c r="AN193" s="289"/>
      <c r="AO193" s="289"/>
      <c r="AP193" s="289"/>
      <c r="AQ193" s="289"/>
      <c r="AR193" s="289"/>
      <c r="AS193" s="289"/>
      <c r="AT193" s="289"/>
      <c r="AU193" s="289"/>
      <c r="AV193" s="289"/>
      <c r="AW193" s="289"/>
      <c r="AX193" s="289"/>
      <c r="AY193" s="289"/>
      <c r="AZ193" s="289"/>
      <c r="BA193" s="289"/>
      <c r="BB193" s="289"/>
      <c r="BC193" s="289"/>
      <c r="BD193" s="289"/>
      <c r="BE193" s="289"/>
      <c r="BF193" s="289"/>
      <c r="BG193" s="289"/>
      <c r="BH193" s="289"/>
      <c r="BI193" s="289"/>
      <c r="BJ193" s="289"/>
      <c r="BK193" s="289"/>
      <c r="BL193" s="289"/>
      <c r="BM193" s="289"/>
      <c r="BN193" s="289"/>
      <c r="BO193" s="289"/>
      <c r="BP193" s="289"/>
      <c r="BQ193" s="289"/>
      <c r="BR193" s="289"/>
      <c r="BS193" s="289"/>
      <c r="BT193" s="289"/>
      <c r="BU193" s="289"/>
      <c r="BV193" s="289"/>
    </row>
    <row r="194" spans="2:74" x14ac:dyDescent="0.2">
      <c r="B194" s="210"/>
      <c r="C194" s="203"/>
      <c r="D194" s="203"/>
      <c r="E194" s="288"/>
      <c r="F194" s="289"/>
      <c r="G194" s="289"/>
      <c r="H194" s="289"/>
      <c r="I194" s="289"/>
      <c r="J194" s="289"/>
      <c r="K194" s="289"/>
      <c r="L194" s="289"/>
      <c r="M194" s="289"/>
      <c r="N194" s="289"/>
      <c r="O194" s="289"/>
      <c r="P194" s="289"/>
      <c r="Q194" s="289"/>
      <c r="R194" s="289"/>
      <c r="S194" s="289"/>
      <c r="T194" s="289"/>
      <c r="U194" s="289"/>
      <c r="V194" s="289"/>
      <c r="W194" s="289"/>
      <c r="X194" s="289"/>
      <c r="Y194" s="289"/>
      <c r="Z194" s="289"/>
      <c r="AA194" s="289"/>
      <c r="AB194" s="289"/>
      <c r="AC194" s="289"/>
      <c r="AD194" s="289"/>
      <c r="AE194" s="289"/>
      <c r="AF194" s="289"/>
      <c r="AG194" s="289"/>
      <c r="AH194" s="289"/>
      <c r="AI194" s="289"/>
      <c r="AJ194" s="289"/>
      <c r="AK194" s="289"/>
      <c r="AL194" s="289"/>
      <c r="AM194" s="289"/>
      <c r="AN194" s="289"/>
      <c r="AO194" s="289"/>
      <c r="AP194" s="289"/>
      <c r="AQ194" s="289"/>
      <c r="AR194" s="289"/>
      <c r="AS194" s="289"/>
      <c r="AT194" s="289"/>
      <c r="AU194" s="289"/>
      <c r="AV194" s="289"/>
      <c r="AW194" s="289"/>
      <c r="AX194" s="289"/>
      <c r="AY194" s="289"/>
      <c r="AZ194" s="289"/>
      <c r="BA194" s="289"/>
      <c r="BB194" s="289"/>
      <c r="BC194" s="289"/>
      <c r="BD194" s="289"/>
      <c r="BE194" s="289"/>
      <c r="BF194" s="289"/>
      <c r="BG194" s="289"/>
      <c r="BH194" s="289"/>
      <c r="BI194" s="289"/>
      <c r="BJ194" s="289"/>
      <c r="BK194" s="289"/>
      <c r="BL194" s="289"/>
      <c r="BM194" s="289"/>
      <c r="BN194" s="289"/>
      <c r="BO194" s="289"/>
      <c r="BP194" s="289"/>
      <c r="BQ194" s="289"/>
      <c r="BR194" s="289"/>
      <c r="BS194" s="289"/>
      <c r="BT194" s="289"/>
      <c r="BU194" s="289"/>
      <c r="BV194" s="289"/>
    </row>
    <row r="195" spans="2:74" x14ac:dyDescent="0.2">
      <c r="B195" s="210"/>
      <c r="C195" s="203"/>
      <c r="D195" s="203"/>
      <c r="E195" s="288"/>
      <c r="F195" s="289"/>
      <c r="G195" s="289"/>
      <c r="H195" s="289"/>
      <c r="I195" s="289"/>
      <c r="J195" s="289"/>
      <c r="K195" s="289"/>
      <c r="L195" s="289"/>
      <c r="M195" s="289"/>
      <c r="N195" s="289"/>
      <c r="O195" s="289"/>
      <c r="P195" s="289"/>
      <c r="Q195" s="289"/>
      <c r="R195" s="289"/>
      <c r="S195" s="289"/>
      <c r="T195" s="289"/>
      <c r="U195" s="289"/>
      <c r="V195" s="289"/>
      <c r="W195" s="289"/>
      <c r="X195" s="289"/>
      <c r="Y195" s="289"/>
      <c r="Z195" s="289"/>
      <c r="AA195" s="289"/>
      <c r="AB195" s="289"/>
      <c r="AC195" s="289"/>
      <c r="AD195" s="289"/>
      <c r="AE195" s="289"/>
      <c r="AF195" s="289"/>
      <c r="AG195" s="289"/>
      <c r="AH195" s="289"/>
      <c r="AI195" s="289"/>
      <c r="AJ195" s="289"/>
      <c r="AK195" s="289"/>
      <c r="AL195" s="289"/>
      <c r="AM195" s="289"/>
      <c r="AN195" s="289"/>
      <c r="AO195" s="289"/>
      <c r="AP195" s="289"/>
      <c r="AQ195" s="289"/>
      <c r="AR195" s="289"/>
      <c r="AS195" s="289"/>
      <c r="AT195" s="289"/>
      <c r="AU195" s="289"/>
      <c r="AV195" s="289"/>
      <c r="AW195" s="289"/>
      <c r="AX195" s="289"/>
      <c r="AY195" s="289"/>
      <c r="AZ195" s="289"/>
      <c r="BA195" s="289"/>
      <c r="BB195" s="289"/>
      <c r="BC195" s="289"/>
      <c r="BD195" s="289"/>
      <c r="BE195" s="289"/>
      <c r="BF195" s="289"/>
      <c r="BG195" s="289"/>
      <c r="BH195" s="289"/>
      <c r="BI195" s="289"/>
      <c r="BJ195" s="289"/>
      <c r="BK195" s="289"/>
      <c r="BL195" s="289"/>
      <c r="BM195" s="289"/>
      <c r="BN195" s="289"/>
      <c r="BO195" s="289"/>
      <c r="BP195" s="289"/>
      <c r="BQ195" s="289"/>
      <c r="BR195" s="289"/>
      <c r="BS195" s="289"/>
      <c r="BT195" s="289"/>
      <c r="BU195" s="289"/>
      <c r="BV195" s="289"/>
    </row>
    <row r="196" spans="2:74" x14ac:dyDescent="0.2">
      <c r="B196" s="210"/>
      <c r="C196" s="203"/>
      <c r="D196" s="203"/>
      <c r="E196" s="288"/>
      <c r="F196" s="289"/>
      <c r="G196" s="289"/>
      <c r="H196" s="289"/>
      <c r="I196" s="289"/>
      <c r="J196" s="289"/>
      <c r="K196" s="289"/>
      <c r="L196" s="289"/>
      <c r="M196" s="289"/>
      <c r="N196" s="289"/>
      <c r="O196" s="289"/>
      <c r="P196" s="289"/>
      <c r="Q196" s="289"/>
      <c r="R196" s="289"/>
      <c r="S196" s="289"/>
      <c r="T196" s="289"/>
      <c r="U196" s="289"/>
      <c r="V196" s="289"/>
      <c r="W196" s="289"/>
      <c r="X196" s="289"/>
      <c r="Y196" s="289"/>
      <c r="Z196" s="289"/>
      <c r="AA196" s="289"/>
      <c r="AB196" s="289"/>
      <c r="AC196" s="289"/>
      <c r="AD196" s="289"/>
      <c r="AE196" s="289"/>
      <c r="AF196" s="289"/>
      <c r="AG196" s="289"/>
      <c r="AH196" s="289"/>
      <c r="AI196" s="289"/>
      <c r="AJ196" s="289"/>
      <c r="AK196" s="289"/>
      <c r="AL196" s="289"/>
      <c r="AM196" s="289"/>
      <c r="AN196" s="289"/>
      <c r="AO196" s="289"/>
      <c r="AP196" s="289"/>
      <c r="AQ196" s="289"/>
      <c r="AR196" s="289"/>
      <c r="AS196" s="289"/>
      <c r="AT196" s="289"/>
      <c r="AU196" s="289"/>
      <c r="AV196" s="289"/>
      <c r="AW196" s="289"/>
      <c r="AX196" s="289"/>
      <c r="AY196" s="289"/>
      <c r="AZ196" s="289"/>
      <c r="BA196" s="289"/>
      <c r="BB196" s="289"/>
      <c r="BC196" s="289"/>
      <c r="BD196" s="289"/>
      <c r="BE196" s="289"/>
      <c r="BF196" s="289"/>
      <c r="BG196" s="289"/>
      <c r="BH196" s="289"/>
      <c r="BI196" s="289"/>
      <c r="BJ196" s="289"/>
      <c r="BK196" s="289"/>
      <c r="BL196" s="289"/>
      <c r="BM196" s="289"/>
      <c r="BN196" s="289"/>
      <c r="BO196" s="289"/>
      <c r="BP196" s="289"/>
      <c r="BQ196" s="289"/>
      <c r="BR196" s="289"/>
      <c r="BS196" s="289"/>
      <c r="BT196" s="289"/>
      <c r="BU196" s="289"/>
      <c r="BV196" s="289"/>
    </row>
    <row r="197" spans="2:74" x14ac:dyDescent="0.2">
      <c r="B197" s="210"/>
      <c r="C197" s="203"/>
      <c r="D197" s="203"/>
      <c r="E197" s="288"/>
      <c r="F197" s="289"/>
      <c r="G197" s="289"/>
      <c r="H197" s="289"/>
      <c r="I197" s="289"/>
      <c r="J197" s="289"/>
      <c r="K197" s="289"/>
      <c r="L197" s="289"/>
      <c r="M197" s="289"/>
      <c r="N197" s="289"/>
      <c r="O197" s="289"/>
      <c r="P197" s="289"/>
      <c r="Q197" s="289"/>
      <c r="R197" s="289"/>
      <c r="S197" s="289"/>
      <c r="T197" s="289"/>
      <c r="U197" s="289"/>
      <c r="V197" s="289"/>
      <c r="W197" s="289"/>
      <c r="X197" s="289"/>
      <c r="Y197" s="289"/>
      <c r="Z197" s="289"/>
      <c r="AA197" s="289"/>
      <c r="AB197" s="289"/>
      <c r="AC197" s="289"/>
      <c r="AD197" s="289"/>
      <c r="AE197" s="289"/>
      <c r="AF197" s="289"/>
      <c r="AG197" s="289"/>
      <c r="AH197" s="289"/>
      <c r="AI197" s="289"/>
      <c r="AJ197" s="289"/>
      <c r="AK197" s="289"/>
      <c r="AL197" s="289"/>
      <c r="AM197" s="289"/>
      <c r="AN197" s="289"/>
      <c r="AO197" s="289"/>
      <c r="AP197" s="289"/>
      <c r="AQ197" s="289"/>
      <c r="AR197" s="289"/>
      <c r="AS197" s="289"/>
      <c r="AT197" s="289"/>
      <c r="AU197" s="289"/>
      <c r="AV197" s="289"/>
      <c r="AW197" s="289"/>
      <c r="AX197" s="289"/>
      <c r="AY197" s="289"/>
      <c r="AZ197" s="289"/>
      <c r="BA197" s="289"/>
      <c r="BB197" s="289"/>
      <c r="BC197" s="289"/>
      <c r="BD197" s="289"/>
      <c r="BE197" s="289"/>
      <c r="BF197" s="289"/>
      <c r="BG197" s="289"/>
      <c r="BH197" s="289"/>
      <c r="BI197" s="289"/>
      <c r="BJ197" s="289"/>
      <c r="BK197" s="289"/>
      <c r="BL197" s="289"/>
      <c r="BM197" s="289"/>
      <c r="BN197" s="289"/>
      <c r="BO197" s="289"/>
      <c r="BP197" s="289"/>
      <c r="BQ197" s="289"/>
      <c r="BR197" s="289"/>
      <c r="BS197" s="289"/>
      <c r="BT197" s="289"/>
      <c r="BU197" s="289"/>
      <c r="BV197" s="289"/>
    </row>
    <row r="198" spans="2:74" x14ac:dyDescent="0.2">
      <c r="B198" s="210"/>
      <c r="C198" s="203"/>
      <c r="D198" s="203"/>
      <c r="E198" s="288"/>
      <c r="F198" s="289"/>
      <c r="G198" s="289"/>
      <c r="H198" s="289"/>
      <c r="I198" s="289"/>
      <c r="J198" s="289"/>
      <c r="K198" s="289"/>
      <c r="L198" s="289"/>
      <c r="M198" s="289"/>
      <c r="N198" s="289"/>
      <c r="O198" s="289"/>
      <c r="P198" s="289"/>
      <c r="Q198" s="289"/>
      <c r="R198" s="289"/>
      <c r="S198" s="289"/>
      <c r="T198" s="289"/>
      <c r="U198" s="289"/>
      <c r="V198" s="289"/>
      <c r="W198" s="289"/>
      <c r="X198" s="289"/>
      <c r="Y198" s="289"/>
      <c r="Z198" s="289"/>
      <c r="AA198" s="289"/>
      <c r="AB198" s="289"/>
      <c r="AC198" s="289"/>
      <c r="AD198" s="289"/>
      <c r="AE198" s="289"/>
      <c r="AF198" s="289"/>
      <c r="AG198" s="289"/>
      <c r="AH198" s="289"/>
      <c r="AI198" s="289"/>
      <c r="AJ198" s="289"/>
      <c r="AK198" s="289"/>
      <c r="AL198" s="289"/>
      <c r="AM198" s="289"/>
      <c r="AN198" s="289"/>
      <c r="AO198" s="289"/>
      <c r="AP198" s="289"/>
      <c r="AQ198" s="289"/>
      <c r="AR198" s="289"/>
      <c r="AS198" s="289"/>
      <c r="AT198" s="289"/>
      <c r="AU198" s="289"/>
      <c r="AV198" s="289"/>
      <c r="AW198" s="289"/>
      <c r="AX198" s="289"/>
      <c r="AY198" s="289"/>
      <c r="AZ198" s="289"/>
      <c r="BA198" s="289"/>
      <c r="BB198" s="289"/>
      <c r="BC198" s="289"/>
      <c r="BD198" s="289"/>
      <c r="BE198" s="289"/>
      <c r="BF198" s="289"/>
      <c r="BG198" s="289"/>
      <c r="BH198" s="289"/>
      <c r="BI198" s="289"/>
      <c r="BJ198" s="289"/>
      <c r="BK198" s="289"/>
      <c r="BL198" s="289"/>
      <c r="BM198" s="289"/>
      <c r="BN198" s="289"/>
      <c r="BO198" s="289"/>
      <c r="BP198" s="289"/>
      <c r="BQ198" s="289"/>
      <c r="BR198" s="289"/>
      <c r="BS198" s="289"/>
      <c r="BT198" s="289"/>
      <c r="BU198" s="289"/>
      <c r="BV198" s="289"/>
    </row>
    <row r="199" spans="2:74" x14ac:dyDescent="0.2">
      <c r="B199" s="210"/>
      <c r="C199" s="203"/>
      <c r="D199" s="203"/>
      <c r="E199" s="288"/>
      <c r="F199" s="289"/>
      <c r="G199" s="289"/>
      <c r="H199" s="289"/>
      <c r="I199" s="289"/>
      <c r="J199" s="289"/>
      <c r="K199" s="289"/>
      <c r="L199" s="289"/>
      <c r="M199" s="289"/>
      <c r="N199" s="289"/>
      <c r="O199" s="289"/>
      <c r="P199" s="289"/>
      <c r="Q199" s="289"/>
      <c r="R199" s="289"/>
      <c r="S199" s="289"/>
      <c r="T199" s="289"/>
      <c r="U199" s="289"/>
      <c r="V199" s="289"/>
      <c r="W199" s="289"/>
      <c r="X199" s="289"/>
      <c r="Y199" s="289"/>
      <c r="Z199" s="289"/>
      <c r="AA199" s="289"/>
      <c r="AB199" s="289"/>
      <c r="AC199" s="289"/>
      <c r="AD199" s="289"/>
      <c r="AE199" s="289"/>
      <c r="AF199" s="289"/>
      <c r="AG199" s="289"/>
      <c r="AH199" s="289"/>
      <c r="AI199" s="289"/>
      <c r="AJ199" s="289"/>
      <c r="AK199" s="289"/>
      <c r="AL199" s="289"/>
      <c r="AM199" s="289"/>
      <c r="AN199" s="289"/>
      <c r="AO199" s="289"/>
      <c r="AP199" s="289"/>
      <c r="AQ199" s="289"/>
      <c r="AR199" s="289"/>
      <c r="AS199" s="289"/>
      <c r="AT199" s="289"/>
      <c r="AU199" s="289"/>
      <c r="AV199" s="289"/>
      <c r="AW199" s="289"/>
      <c r="AX199" s="289"/>
      <c r="AY199" s="289"/>
      <c r="AZ199" s="289"/>
      <c r="BA199" s="289"/>
      <c r="BB199" s="289"/>
      <c r="BC199" s="289"/>
      <c r="BD199" s="289"/>
      <c r="BE199" s="289"/>
      <c r="BF199" s="289"/>
      <c r="BG199" s="289"/>
      <c r="BH199" s="289"/>
      <c r="BI199" s="289"/>
      <c r="BJ199" s="289"/>
      <c r="BK199" s="289"/>
      <c r="BL199" s="289"/>
      <c r="BM199" s="289"/>
      <c r="BN199" s="289"/>
      <c r="BO199" s="289"/>
      <c r="BP199" s="289"/>
      <c r="BQ199" s="289"/>
      <c r="BR199" s="289"/>
      <c r="BS199" s="289"/>
      <c r="BT199" s="289"/>
      <c r="BU199" s="289"/>
      <c r="BV199" s="289"/>
    </row>
    <row r="200" spans="2:74" x14ac:dyDescent="0.2">
      <c r="B200" s="210"/>
      <c r="C200" s="203"/>
      <c r="D200" s="203"/>
      <c r="E200" s="288"/>
      <c r="F200" s="289"/>
      <c r="G200" s="289"/>
      <c r="H200" s="289"/>
      <c r="I200" s="289"/>
      <c r="J200" s="289"/>
      <c r="K200" s="289"/>
      <c r="L200" s="289"/>
      <c r="M200" s="289"/>
      <c r="N200" s="289"/>
      <c r="O200" s="289"/>
      <c r="P200" s="289"/>
      <c r="Q200" s="289"/>
      <c r="R200" s="289"/>
      <c r="S200" s="289"/>
      <c r="T200" s="289"/>
      <c r="U200" s="289"/>
      <c r="V200" s="289"/>
      <c r="W200" s="289"/>
      <c r="X200" s="289"/>
      <c r="Y200" s="289"/>
      <c r="Z200" s="289"/>
      <c r="AA200" s="289"/>
      <c r="AB200" s="289"/>
      <c r="AC200" s="289"/>
      <c r="AD200" s="289"/>
      <c r="AE200" s="289"/>
      <c r="AF200" s="289"/>
      <c r="AG200" s="289"/>
      <c r="AH200" s="289"/>
      <c r="AI200" s="289"/>
      <c r="AJ200" s="289"/>
      <c r="AK200" s="289"/>
      <c r="AL200" s="289"/>
      <c r="AM200" s="289"/>
      <c r="AN200" s="289"/>
      <c r="AO200" s="289"/>
      <c r="AP200" s="289"/>
      <c r="AQ200" s="289"/>
      <c r="AR200" s="289"/>
      <c r="AS200" s="289"/>
      <c r="AT200" s="289"/>
      <c r="AU200" s="289"/>
      <c r="AV200" s="289"/>
      <c r="AW200" s="289"/>
      <c r="AX200" s="289"/>
      <c r="AY200" s="289"/>
      <c r="AZ200" s="289"/>
      <c r="BA200" s="289"/>
      <c r="BB200" s="289"/>
      <c r="BC200" s="289"/>
      <c r="BD200" s="289"/>
      <c r="BE200" s="289"/>
      <c r="BF200" s="289"/>
      <c r="BG200" s="289"/>
      <c r="BH200" s="289"/>
      <c r="BI200" s="289"/>
      <c r="BJ200" s="289"/>
      <c r="BK200" s="289"/>
      <c r="BL200" s="289"/>
      <c r="BM200" s="289"/>
      <c r="BN200" s="289"/>
      <c r="BO200" s="289"/>
      <c r="BP200" s="289"/>
      <c r="BQ200" s="289"/>
      <c r="BR200" s="289"/>
      <c r="BS200" s="289"/>
      <c r="BT200" s="289"/>
      <c r="BU200" s="289"/>
      <c r="BV200" s="289"/>
    </row>
    <row r="201" spans="2:74" x14ac:dyDescent="0.2">
      <c r="B201" s="210"/>
      <c r="C201" s="203"/>
      <c r="D201" s="203"/>
      <c r="E201" s="288"/>
      <c r="F201" s="289"/>
      <c r="G201" s="289"/>
      <c r="H201" s="289"/>
      <c r="I201" s="289"/>
      <c r="J201" s="289"/>
      <c r="K201" s="289"/>
      <c r="L201" s="289"/>
      <c r="M201" s="289"/>
      <c r="N201" s="289"/>
      <c r="O201" s="289"/>
      <c r="P201" s="289"/>
      <c r="Q201" s="289"/>
      <c r="R201" s="289"/>
      <c r="S201" s="289"/>
      <c r="T201" s="289"/>
      <c r="U201" s="289"/>
      <c r="V201" s="289"/>
      <c r="W201" s="289"/>
      <c r="X201" s="289"/>
      <c r="Y201" s="289"/>
      <c r="Z201" s="289"/>
      <c r="AA201" s="289"/>
      <c r="AB201" s="289"/>
      <c r="AC201" s="289"/>
      <c r="AD201" s="289"/>
      <c r="AE201" s="289"/>
      <c r="AF201" s="289"/>
      <c r="AG201" s="289"/>
      <c r="AH201" s="289"/>
      <c r="AI201" s="289"/>
      <c r="AJ201" s="289"/>
      <c r="AK201" s="289"/>
      <c r="AL201" s="289"/>
      <c r="AM201" s="289"/>
      <c r="AN201" s="289"/>
      <c r="AO201" s="289"/>
      <c r="AP201" s="289"/>
      <c r="AQ201" s="289"/>
      <c r="AR201" s="289"/>
      <c r="AS201" s="289"/>
      <c r="AT201" s="289"/>
      <c r="AU201" s="289"/>
      <c r="AV201" s="289"/>
      <c r="AW201" s="289"/>
      <c r="AX201" s="289"/>
      <c r="AY201" s="289"/>
      <c r="AZ201" s="289"/>
      <c r="BA201" s="289"/>
      <c r="BB201" s="289"/>
      <c r="BC201" s="289"/>
      <c r="BD201" s="289"/>
      <c r="BE201" s="289"/>
      <c r="BF201" s="289"/>
      <c r="BG201" s="289"/>
      <c r="BH201" s="289"/>
      <c r="BI201" s="289"/>
      <c r="BJ201" s="289"/>
      <c r="BK201" s="289"/>
      <c r="BL201" s="289"/>
      <c r="BM201" s="289"/>
      <c r="BN201" s="289"/>
      <c r="BO201" s="289"/>
      <c r="BP201" s="289"/>
      <c r="BQ201" s="289"/>
      <c r="BR201" s="289"/>
      <c r="BS201" s="289"/>
      <c r="BT201" s="289"/>
      <c r="BU201" s="289"/>
      <c r="BV201" s="289"/>
    </row>
    <row r="202" spans="2:74" x14ac:dyDescent="0.2">
      <c r="B202" s="210"/>
      <c r="C202" s="210"/>
      <c r="D202" s="210"/>
      <c r="E202" s="288"/>
      <c r="F202" s="289"/>
      <c r="G202" s="289"/>
      <c r="H202" s="289"/>
      <c r="I202" s="289"/>
      <c r="J202" s="289"/>
      <c r="K202" s="289"/>
      <c r="L202" s="289"/>
      <c r="M202" s="289"/>
      <c r="N202" s="289"/>
      <c r="O202" s="289"/>
      <c r="P202" s="289"/>
      <c r="Q202" s="289"/>
      <c r="R202" s="289"/>
      <c r="S202" s="289"/>
      <c r="T202" s="289"/>
      <c r="U202" s="289"/>
      <c r="V202" s="289"/>
      <c r="W202" s="289"/>
      <c r="X202" s="289"/>
      <c r="Y202" s="289"/>
      <c r="Z202" s="289"/>
      <c r="AA202" s="289"/>
      <c r="AB202" s="289"/>
      <c r="AC202" s="289"/>
      <c r="AD202" s="289"/>
      <c r="AE202" s="289"/>
      <c r="AF202" s="289"/>
      <c r="AG202" s="289"/>
      <c r="AH202" s="289"/>
      <c r="AI202" s="289"/>
      <c r="AJ202" s="289"/>
      <c r="AK202" s="289"/>
      <c r="AL202" s="289"/>
      <c r="AM202" s="289"/>
      <c r="AN202" s="289"/>
      <c r="AO202" s="289"/>
      <c r="AP202" s="289"/>
      <c r="AQ202" s="289"/>
      <c r="AR202" s="289"/>
      <c r="AS202" s="289"/>
      <c r="AT202" s="289"/>
      <c r="AU202" s="289"/>
      <c r="AV202" s="289"/>
      <c r="AW202" s="289"/>
      <c r="AX202" s="289"/>
      <c r="AY202" s="289"/>
      <c r="AZ202" s="289"/>
      <c r="BA202" s="289"/>
      <c r="BB202" s="289"/>
      <c r="BC202" s="289"/>
      <c r="BD202" s="289"/>
      <c r="BE202" s="289"/>
      <c r="BF202" s="289"/>
      <c r="BG202" s="289"/>
      <c r="BH202" s="289"/>
      <c r="BI202" s="289"/>
      <c r="BJ202" s="289"/>
      <c r="BK202" s="289"/>
      <c r="BL202" s="289"/>
      <c r="BM202" s="289"/>
      <c r="BN202" s="289"/>
      <c r="BO202" s="289"/>
      <c r="BP202" s="289"/>
      <c r="BQ202" s="289"/>
      <c r="BR202" s="289"/>
      <c r="BS202" s="289"/>
      <c r="BT202" s="289"/>
      <c r="BU202" s="289"/>
      <c r="BV202" s="289"/>
    </row>
    <row r="203" spans="2:74" x14ac:dyDescent="0.2">
      <c r="B203" s="210"/>
      <c r="C203" s="210"/>
      <c r="D203" s="210"/>
      <c r="E203" s="288"/>
      <c r="F203" s="289"/>
      <c r="G203" s="289"/>
      <c r="H203" s="289"/>
      <c r="I203" s="289"/>
      <c r="J203" s="289"/>
      <c r="K203" s="289"/>
      <c r="L203" s="289"/>
      <c r="M203" s="289"/>
      <c r="N203" s="289"/>
      <c r="O203" s="289"/>
      <c r="P203" s="289"/>
      <c r="Q203" s="289"/>
      <c r="R203" s="289"/>
      <c r="S203" s="289"/>
      <c r="T203" s="289"/>
      <c r="U203" s="289"/>
      <c r="V203" s="289"/>
      <c r="W203" s="289"/>
      <c r="X203" s="289"/>
      <c r="Y203" s="289"/>
      <c r="Z203" s="289"/>
      <c r="AA203" s="289"/>
      <c r="AB203" s="289"/>
      <c r="AC203" s="289"/>
      <c r="AD203" s="289"/>
      <c r="AE203" s="289"/>
      <c r="AF203" s="289"/>
      <c r="AG203" s="289"/>
      <c r="AH203" s="289"/>
      <c r="AI203" s="289"/>
      <c r="AJ203" s="289"/>
      <c r="AK203" s="289"/>
      <c r="AL203" s="289"/>
      <c r="AM203" s="289"/>
      <c r="AN203" s="289"/>
      <c r="AO203" s="289"/>
      <c r="AP203" s="289"/>
      <c r="AQ203" s="289"/>
      <c r="AR203" s="289"/>
      <c r="AS203" s="289"/>
      <c r="AT203" s="289"/>
      <c r="AU203" s="289"/>
      <c r="AV203" s="289"/>
      <c r="AW203" s="289"/>
      <c r="AX203" s="289"/>
      <c r="AY203" s="289"/>
      <c r="AZ203" s="289"/>
      <c r="BA203" s="289"/>
      <c r="BB203" s="289"/>
      <c r="BC203" s="289"/>
      <c r="BD203" s="289"/>
      <c r="BE203" s="289"/>
      <c r="BF203" s="289"/>
      <c r="BG203" s="289"/>
      <c r="BH203" s="289"/>
      <c r="BI203" s="289"/>
      <c r="BJ203" s="289"/>
      <c r="BK203" s="289"/>
      <c r="BL203" s="289"/>
      <c r="BM203" s="289"/>
      <c r="BN203" s="289"/>
      <c r="BO203" s="289"/>
      <c r="BP203" s="289"/>
      <c r="BQ203" s="289"/>
      <c r="BR203" s="289"/>
      <c r="BS203" s="289"/>
      <c r="BT203" s="289"/>
      <c r="BU203" s="289"/>
      <c r="BV203" s="289"/>
    </row>
    <row r="204" spans="2:74" x14ac:dyDescent="0.2">
      <c r="B204" s="210"/>
      <c r="C204" s="203"/>
      <c r="D204" s="203"/>
      <c r="E204" s="288"/>
      <c r="F204" s="289"/>
      <c r="G204" s="289"/>
      <c r="H204" s="289"/>
      <c r="I204" s="289"/>
      <c r="J204" s="289"/>
      <c r="K204" s="289"/>
      <c r="L204" s="289"/>
      <c r="M204" s="289"/>
      <c r="N204" s="289"/>
      <c r="O204" s="289"/>
      <c r="P204" s="289"/>
      <c r="Q204" s="289"/>
      <c r="R204" s="289"/>
      <c r="S204" s="289"/>
      <c r="T204" s="289"/>
      <c r="U204" s="289"/>
      <c r="V204" s="289"/>
      <c r="W204" s="289"/>
      <c r="X204" s="289"/>
      <c r="Y204" s="289"/>
      <c r="Z204" s="289"/>
      <c r="AA204" s="289"/>
      <c r="AB204" s="289"/>
      <c r="AC204" s="289"/>
      <c r="AD204" s="289"/>
      <c r="AE204" s="289"/>
      <c r="AF204" s="289"/>
      <c r="AG204" s="289"/>
      <c r="AH204" s="289"/>
      <c r="AI204" s="289"/>
      <c r="AJ204" s="289"/>
      <c r="AK204" s="289"/>
      <c r="AL204" s="289"/>
      <c r="AM204" s="289"/>
      <c r="AN204" s="289"/>
      <c r="AO204" s="289"/>
      <c r="AP204" s="289"/>
      <c r="AQ204" s="289"/>
      <c r="AR204" s="289"/>
      <c r="AS204" s="289"/>
      <c r="AT204" s="289"/>
      <c r="AU204" s="289"/>
      <c r="AV204" s="289"/>
      <c r="AW204" s="289"/>
      <c r="AX204" s="289"/>
      <c r="AY204" s="289"/>
      <c r="AZ204" s="289"/>
      <c r="BA204" s="289"/>
      <c r="BB204" s="289"/>
      <c r="BC204" s="289"/>
      <c r="BD204" s="289"/>
      <c r="BE204" s="289"/>
      <c r="BF204" s="289"/>
      <c r="BG204" s="289"/>
      <c r="BH204" s="289"/>
      <c r="BI204" s="289"/>
      <c r="BJ204" s="289"/>
      <c r="BK204" s="289"/>
      <c r="BL204" s="289"/>
      <c r="BM204" s="289"/>
      <c r="BN204" s="289"/>
      <c r="BO204" s="289"/>
      <c r="BP204" s="289"/>
      <c r="BQ204" s="289"/>
      <c r="BR204" s="289"/>
      <c r="BS204" s="289"/>
      <c r="BT204" s="289"/>
      <c r="BU204" s="289"/>
      <c r="BV204" s="289"/>
    </row>
    <row r="205" spans="2:74" x14ac:dyDescent="0.2">
      <c r="B205" s="210"/>
      <c r="C205" s="203"/>
      <c r="D205" s="203"/>
      <c r="E205" s="288"/>
      <c r="F205" s="289"/>
      <c r="G205" s="289"/>
      <c r="H205" s="289"/>
      <c r="I205" s="289"/>
      <c r="J205" s="289"/>
      <c r="K205" s="289"/>
      <c r="L205" s="289"/>
      <c r="M205" s="289"/>
      <c r="N205" s="289"/>
      <c r="O205" s="289"/>
      <c r="P205" s="289"/>
      <c r="Q205" s="289"/>
      <c r="R205" s="289"/>
      <c r="S205" s="289"/>
      <c r="T205" s="289"/>
      <c r="U205" s="289"/>
      <c r="V205" s="289"/>
      <c r="W205" s="289"/>
      <c r="X205" s="289"/>
      <c r="Y205" s="289"/>
      <c r="Z205" s="289"/>
      <c r="AA205" s="289"/>
      <c r="AB205" s="289"/>
      <c r="AC205" s="289"/>
      <c r="AD205" s="289"/>
      <c r="AE205" s="289"/>
      <c r="AF205" s="289"/>
      <c r="AG205" s="289"/>
      <c r="AH205" s="289"/>
      <c r="AI205" s="289"/>
      <c r="AJ205" s="289"/>
      <c r="AK205" s="289"/>
      <c r="AL205" s="289"/>
      <c r="AM205" s="289"/>
      <c r="AN205" s="289"/>
      <c r="AO205" s="289"/>
      <c r="AP205" s="289"/>
      <c r="AQ205" s="289"/>
      <c r="AR205" s="289"/>
      <c r="AS205" s="289"/>
      <c r="AT205" s="289"/>
      <c r="AU205" s="289"/>
      <c r="AV205" s="289"/>
      <c r="AW205" s="289"/>
      <c r="AX205" s="289"/>
      <c r="AY205" s="289"/>
      <c r="AZ205" s="289"/>
      <c r="BA205" s="289"/>
      <c r="BB205" s="289"/>
      <c r="BC205" s="289"/>
      <c r="BD205" s="289"/>
      <c r="BE205" s="289"/>
      <c r="BF205" s="289"/>
      <c r="BG205" s="289"/>
      <c r="BH205" s="289"/>
      <c r="BI205" s="289"/>
      <c r="BJ205" s="289"/>
      <c r="BK205" s="289"/>
      <c r="BL205" s="289"/>
      <c r="BM205" s="289"/>
      <c r="BN205" s="289"/>
      <c r="BO205" s="289"/>
      <c r="BP205" s="289"/>
      <c r="BQ205" s="289"/>
      <c r="BR205" s="289"/>
      <c r="BS205" s="289"/>
      <c r="BT205" s="289"/>
      <c r="BU205" s="289"/>
      <c r="BV205" s="289"/>
    </row>
    <row r="206" spans="2:74" x14ac:dyDescent="0.2">
      <c r="B206" s="210"/>
      <c r="C206" s="203"/>
      <c r="D206" s="203"/>
      <c r="E206" s="288"/>
      <c r="F206" s="289"/>
      <c r="G206" s="289"/>
      <c r="H206" s="289"/>
      <c r="I206" s="289"/>
      <c r="J206" s="289"/>
      <c r="K206" s="289"/>
      <c r="L206" s="289"/>
      <c r="M206" s="289"/>
      <c r="N206" s="289"/>
      <c r="O206" s="289"/>
      <c r="P206" s="289"/>
      <c r="Q206" s="289"/>
      <c r="R206" s="289"/>
      <c r="S206" s="289"/>
      <c r="T206" s="289"/>
      <c r="U206" s="289"/>
      <c r="V206" s="289"/>
      <c r="W206" s="289"/>
      <c r="X206" s="289"/>
      <c r="Y206" s="289"/>
      <c r="Z206" s="289"/>
      <c r="AA206" s="289"/>
      <c r="AB206" s="289"/>
      <c r="AC206" s="289"/>
      <c r="AD206" s="289"/>
      <c r="AE206" s="289"/>
      <c r="AF206" s="289"/>
      <c r="AG206" s="289"/>
      <c r="AH206" s="289"/>
      <c r="AI206" s="289"/>
      <c r="AJ206" s="289"/>
      <c r="AK206" s="289"/>
      <c r="AL206" s="289"/>
      <c r="AM206" s="289"/>
      <c r="AN206" s="289"/>
      <c r="AO206" s="289"/>
      <c r="AP206" s="289"/>
      <c r="AQ206" s="289"/>
      <c r="AR206" s="289"/>
      <c r="AS206" s="289"/>
      <c r="AT206" s="289"/>
      <c r="AU206" s="289"/>
      <c r="AV206" s="289"/>
      <c r="AW206" s="289"/>
      <c r="AX206" s="289"/>
      <c r="AY206" s="289"/>
      <c r="AZ206" s="289"/>
      <c r="BA206" s="289"/>
      <c r="BB206" s="289"/>
      <c r="BC206" s="289"/>
      <c r="BD206" s="289"/>
      <c r="BE206" s="289"/>
      <c r="BF206" s="289"/>
      <c r="BG206" s="289"/>
      <c r="BH206" s="289"/>
      <c r="BI206" s="289"/>
      <c r="BJ206" s="289"/>
      <c r="BK206" s="289"/>
      <c r="BL206" s="289"/>
      <c r="BM206" s="289"/>
      <c r="BN206" s="289"/>
      <c r="BO206" s="289"/>
      <c r="BP206" s="289"/>
      <c r="BQ206" s="289"/>
      <c r="BR206" s="289"/>
      <c r="BS206" s="289"/>
      <c r="BT206" s="289"/>
      <c r="BU206" s="289"/>
      <c r="BV206" s="289"/>
    </row>
    <row r="222" spans="2:74" x14ac:dyDescent="0.2">
      <c r="E222" s="262"/>
      <c r="F222" s="262"/>
      <c r="G222" s="262"/>
      <c r="H222" s="262"/>
      <c r="I222" s="262"/>
      <c r="J222" s="262"/>
      <c r="K222" s="262"/>
      <c r="L222" s="262"/>
      <c r="M222" s="262"/>
      <c r="N222" s="262"/>
      <c r="O222" s="262"/>
      <c r="P222" s="262"/>
      <c r="Q222" s="262"/>
      <c r="R222" s="262"/>
      <c r="S222" s="262"/>
      <c r="T222" s="262"/>
      <c r="U222" s="262"/>
      <c r="V222" s="262"/>
      <c r="W222" s="262"/>
      <c r="X222" s="262"/>
      <c r="Y222" s="262"/>
      <c r="Z222" s="262"/>
      <c r="AA222" s="262"/>
      <c r="AB222" s="262"/>
      <c r="AC222" s="262"/>
      <c r="AD222" s="262"/>
      <c r="AE222" s="262"/>
      <c r="AF222" s="262"/>
      <c r="AG222" s="262"/>
      <c r="AH222" s="262"/>
      <c r="AI222" s="262"/>
      <c r="AJ222" s="262"/>
      <c r="AK222" s="262"/>
      <c r="AL222" s="262"/>
      <c r="AM222" s="262"/>
      <c r="AN222" s="262"/>
      <c r="AO222" s="262"/>
      <c r="AP222" s="262"/>
      <c r="AQ222" s="262"/>
      <c r="AR222" s="262"/>
      <c r="AS222" s="262"/>
      <c r="AT222" s="262"/>
      <c r="AU222" s="262"/>
      <c r="AV222" s="262"/>
      <c r="AW222" s="262"/>
      <c r="AX222" s="262"/>
      <c r="AY222" s="262"/>
      <c r="AZ222" s="262"/>
      <c r="BA222" s="262"/>
      <c r="BB222" s="262"/>
      <c r="BC222" s="262"/>
      <c r="BD222" s="262"/>
      <c r="BE222" s="262"/>
      <c r="BF222" s="262"/>
      <c r="BG222" s="262"/>
      <c r="BH222" s="262"/>
      <c r="BI222" s="262"/>
      <c r="BJ222" s="262"/>
      <c r="BK222" s="262"/>
      <c r="BL222" s="262"/>
      <c r="BM222" s="262"/>
      <c r="BN222" s="262"/>
      <c r="BO222" s="262"/>
      <c r="BP222" s="262"/>
      <c r="BQ222" s="262"/>
      <c r="BR222" s="262"/>
      <c r="BS222" s="262"/>
      <c r="BT222" s="262"/>
      <c r="BU222" s="262"/>
      <c r="BV222" s="262"/>
    </row>
    <row r="223" spans="2:74" x14ac:dyDescent="0.2">
      <c r="B223" s="210"/>
      <c r="C223" s="203"/>
      <c r="D223" s="203"/>
      <c r="E223" s="288"/>
      <c r="F223" s="289"/>
      <c r="G223" s="289"/>
      <c r="H223" s="289"/>
      <c r="I223" s="289"/>
      <c r="J223" s="289"/>
      <c r="K223" s="289"/>
      <c r="L223" s="289"/>
      <c r="M223" s="289"/>
      <c r="N223" s="289"/>
      <c r="O223" s="289"/>
      <c r="P223" s="289"/>
      <c r="Q223" s="289"/>
      <c r="R223" s="289"/>
      <c r="S223" s="289"/>
      <c r="T223" s="289"/>
      <c r="U223" s="289"/>
      <c r="V223" s="289"/>
      <c r="W223" s="289"/>
      <c r="X223" s="289"/>
      <c r="Y223" s="289"/>
      <c r="Z223" s="289"/>
      <c r="AA223" s="289"/>
      <c r="AB223" s="289"/>
      <c r="AC223" s="289"/>
      <c r="AD223" s="289"/>
      <c r="AE223" s="289"/>
      <c r="AF223" s="289"/>
      <c r="AG223" s="289"/>
      <c r="AH223" s="289"/>
      <c r="AI223" s="289"/>
      <c r="AJ223" s="289"/>
      <c r="AK223" s="289"/>
      <c r="AL223" s="289"/>
      <c r="AM223" s="289"/>
      <c r="AN223" s="289"/>
      <c r="AO223" s="289"/>
      <c r="AP223" s="289"/>
      <c r="AQ223" s="289"/>
      <c r="AR223" s="289"/>
      <c r="AS223" s="289"/>
      <c r="AT223" s="289"/>
      <c r="AU223" s="289"/>
      <c r="AV223" s="289"/>
      <c r="AW223" s="289"/>
      <c r="AX223" s="289"/>
      <c r="AY223" s="289"/>
      <c r="AZ223" s="289"/>
      <c r="BA223" s="289"/>
      <c r="BB223" s="289"/>
      <c r="BC223" s="289"/>
      <c r="BD223" s="289"/>
      <c r="BE223" s="289"/>
      <c r="BF223" s="289"/>
      <c r="BG223" s="289"/>
      <c r="BH223" s="289"/>
      <c r="BI223" s="289"/>
      <c r="BJ223" s="289"/>
      <c r="BK223" s="289"/>
      <c r="BL223" s="289"/>
      <c r="BM223" s="289"/>
      <c r="BN223" s="289"/>
      <c r="BO223" s="289"/>
      <c r="BP223" s="289"/>
      <c r="BQ223" s="289"/>
      <c r="BR223" s="289"/>
      <c r="BS223" s="289"/>
      <c r="BT223" s="289"/>
      <c r="BU223" s="289"/>
      <c r="BV223" s="289"/>
    </row>
    <row r="224" spans="2:74" x14ac:dyDescent="0.2">
      <c r="B224" s="210"/>
      <c r="C224" s="203"/>
      <c r="D224" s="203"/>
      <c r="E224" s="288"/>
      <c r="F224" s="289"/>
      <c r="G224" s="289"/>
      <c r="H224" s="289"/>
      <c r="I224" s="289"/>
      <c r="J224" s="289"/>
      <c r="K224" s="289"/>
      <c r="L224" s="289"/>
      <c r="M224" s="289"/>
      <c r="N224" s="289"/>
      <c r="O224" s="289"/>
      <c r="P224" s="289"/>
      <c r="Q224" s="289"/>
      <c r="R224" s="289"/>
      <c r="S224" s="289"/>
      <c r="T224" s="289"/>
      <c r="U224" s="289"/>
      <c r="V224" s="289"/>
      <c r="W224" s="289"/>
      <c r="X224" s="289"/>
      <c r="Y224" s="289"/>
      <c r="Z224" s="289"/>
      <c r="AA224" s="289"/>
      <c r="AB224" s="289"/>
      <c r="AC224" s="289"/>
      <c r="AD224" s="289"/>
      <c r="AE224" s="289"/>
      <c r="AF224" s="289"/>
      <c r="AG224" s="289"/>
      <c r="AH224" s="289"/>
      <c r="AI224" s="289"/>
      <c r="AJ224" s="289"/>
      <c r="AK224" s="289"/>
      <c r="AL224" s="289"/>
      <c r="AM224" s="289"/>
      <c r="AN224" s="289"/>
      <c r="AO224" s="289"/>
      <c r="AP224" s="289"/>
      <c r="AQ224" s="289"/>
      <c r="AR224" s="289"/>
      <c r="AS224" s="289"/>
      <c r="AT224" s="289"/>
      <c r="AU224" s="289"/>
      <c r="AV224" s="289"/>
      <c r="AW224" s="289"/>
      <c r="AX224" s="289"/>
      <c r="AY224" s="289"/>
      <c r="AZ224" s="289"/>
      <c r="BA224" s="289"/>
      <c r="BB224" s="289"/>
      <c r="BC224" s="289"/>
      <c r="BD224" s="289"/>
      <c r="BE224" s="289"/>
      <c r="BF224" s="289"/>
      <c r="BG224" s="289"/>
      <c r="BH224" s="289"/>
      <c r="BI224" s="289"/>
      <c r="BJ224" s="289"/>
      <c r="BK224" s="289"/>
      <c r="BL224" s="289"/>
      <c r="BM224" s="289"/>
      <c r="BN224" s="289"/>
      <c r="BO224" s="289"/>
      <c r="BP224" s="289"/>
      <c r="BQ224" s="289"/>
      <c r="BR224" s="289"/>
      <c r="BS224" s="289"/>
      <c r="BT224" s="289"/>
      <c r="BU224" s="289"/>
      <c r="BV224" s="289"/>
    </row>
    <row r="225" spans="2:74" x14ac:dyDescent="0.2">
      <c r="B225" s="210"/>
      <c r="C225" s="203"/>
      <c r="D225" s="203"/>
      <c r="E225" s="288"/>
      <c r="F225" s="289"/>
      <c r="G225" s="289"/>
      <c r="H225" s="289"/>
      <c r="I225" s="289"/>
      <c r="J225" s="289"/>
      <c r="K225" s="289"/>
      <c r="L225" s="289"/>
      <c r="M225" s="289"/>
      <c r="N225" s="289"/>
      <c r="O225" s="289"/>
      <c r="P225" s="289"/>
      <c r="Q225" s="289"/>
      <c r="R225" s="289"/>
      <c r="S225" s="289"/>
      <c r="T225" s="289"/>
      <c r="U225" s="289"/>
      <c r="V225" s="289"/>
      <c r="W225" s="289"/>
      <c r="X225" s="289"/>
      <c r="Y225" s="289"/>
      <c r="Z225" s="289"/>
      <c r="AA225" s="289"/>
      <c r="AB225" s="289"/>
      <c r="AC225" s="289"/>
      <c r="AD225" s="289"/>
      <c r="AE225" s="289"/>
      <c r="AF225" s="289"/>
      <c r="AG225" s="289"/>
      <c r="AH225" s="289"/>
      <c r="AI225" s="289"/>
      <c r="AJ225" s="289"/>
      <c r="AK225" s="289"/>
      <c r="AL225" s="289"/>
      <c r="AM225" s="289"/>
      <c r="AN225" s="289"/>
      <c r="AO225" s="289"/>
      <c r="AP225" s="289"/>
      <c r="AQ225" s="289"/>
      <c r="AR225" s="289"/>
      <c r="AS225" s="289"/>
      <c r="AT225" s="289"/>
      <c r="AU225" s="289"/>
      <c r="AV225" s="289"/>
      <c r="AW225" s="289"/>
      <c r="AX225" s="289"/>
      <c r="AY225" s="289"/>
      <c r="AZ225" s="289"/>
      <c r="BA225" s="289"/>
      <c r="BB225" s="289"/>
      <c r="BC225" s="289"/>
      <c r="BD225" s="289"/>
      <c r="BE225" s="289"/>
      <c r="BF225" s="289"/>
      <c r="BG225" s="289"/>
      <c r="BH225" s="289"/>
      <c r="BI225" s="289"/>
      <c r="BJ225" s="289"/>
      <c r="BK225" s="289"/>
      <c r="BL225" s="289"/>
      <c r="BM225" s="289"/>
      <c r="BN225" s="289"/>
      <c r="BO225" s="289"/>
      <c r="BP225" s="289"/>
      <c r="BQ225" s="289"/>
      <c r="BR225" s="289"/>
      <c r="BS225" s="289"/>
      <c r="BT225" s="289"/>
      <c r="BU225" s="289"/>
      <c r="BV225" s="289"/>
    </row>
    <row r="226" spans="2:74" x14ac:dyDescent="0.2">
      <c r="B226" s="210"/>
      <c r="C226" s="203"/>
      <c r="D226" s="203"/>
      <c r="E226" s="288"/>
      <c r="F226" s="289"/>
      <c r="G226" s="289"/>
      <c r="H226" s="289"/>
      <c r="I226" s="289"/>
      <c r="J226" s="289"/>
      <c r="K226" s="289"/>
      <c r="L226" s="289"/>
      <c r="M226" s="289"/>
      <c r="N226" s="289"/>
      <c r="O226" s="289"/>
      <c r="P226" s="289"/>
      <c r="Q226" s="289"/>
      <c r="R226" s="289"/>
      <c r="S226" s="289"/>
      <c r="T226" s="289"/>
      <c r="U226" s="289"/>
      <c r="V226" s="289"/>
      <c r="W226" s="289"/>
      <c r="X226" s="289"/>
      <c r="Y226" s="289"/>
      <c r="Z226" s="289"/>
      <c r="AA226" s="289"/>
      <c r="AB226" s="289"/>
      <c r="AC226" s="289"/>
      <c r="AD226" s="289"/>
      <c r="AE226" s="289"/>
      <c r="AF226" s="289"/>
      <c r="AG226" s="289"/>
      <c r="AH226" s="289"/>
      <c r="AI226" s="289"/>
      <c r="AJ226" s="289"/>
      <c r="AK226" s="289"/>
      <c r="AL226" s="289"/>
      <c r="AM226" s="289"/>
      <c r="AN226" s="289"/>
      <c r="AO226" s="289"/>
      <c r="AP226" s="289"/>
      <c r="AQ226" s="289"/>
      <c r="AR226" s="289"/>
      <c r="AS226" s="289"/>
      <c r="AT226" s="289"/>
      <c r="AU226" s="289"/>
      <c r="AV226" s="289"/>
      <c r="AW226" s="289"/>
      <c r="AX226" s="289"/>
      <c r="AY226" s="289"/>
      <c r="AZ226" s="289"/>
      <c r="BA226" s="289"/>
      <c r="BB226" s="289"/>
      <c r="BC226" s="289"/>
      <c r="BD226" s="289"/>
      <c r="BE226" s="289"/>
      <c r="BF226" s="289"/>
      <c r="BG226" s="289"/>
      <c r="BH226" s="289"/>
      <c r="BI226" s="289"/>
      <c r="BJ226" s="289"/>
      <c r="BK226" s="289"/>
      <c r="BL226" s="289"/>
      <c r="BM226" s="289"/>
      <c r="BN226" s="289"/>
      <c r="BO226" s="289"/>
      <c r="BP226" s="289"/>
      <c r="BQ226" s="289"/>
      <c r="BR226" s="289"/>
      <c r="BS226" s="289"/>
      <c r="BT226" s="289"/>
      <c r="BU226" s="289"/>
      <c r="BV226" s="289"/>
    </row>
    <row r="227" spans="2:74" x14ac:dyDescent="0.2">
      <c r="B227" s="210"/>
      <c r="C227" s="203"/>
      <c r="D227" s="203"/>
      <c r="E227" s="288"/>
      <c r="F227" s="289"/>
      <c r="G227" s="289"/>
      <c r="H227" s="289"/>
      <c r="I227" s="289"/>
      <c r="J227" s="289"/>
      <c r="K227" s="289"/>
      <c r="L227" s="289"/>
      <c r="M227" s="289"/>
      <c r="N227" s="289"/>
      <c r="O227" s="289"/>
      <c r="P227" s="289"/>
      <c r="Q227" s="289"/>
      <c r="R227" s="289"/>
      <c r="S227" s="289"/>
      <c r="T227" s="289"/>
      <c r="U227" s="289"/>
      <c r="V227" s="289"/>
      <c r="W227" s="289"/>
      <c r="X227" s="289"/>
      <c r="Y227" s="289"/>
      <c r="Z227" s="289"/>
      <c r="AA227" s="289"/>
      <c r="AB227" s="289"/>
      <c r="AC227" s="289"/>
      <c r="AD227" s="289"/>
      <c r="AE227" s="289"/>
      <c r="AF227" s="289"/>
      <c r="AG227" s="289"/>
      <c r="AH227" s="289"/>
      <c r="AI227" s="289"/>
      <c r="AJ227" s="289"/>
      <c r="AK227" s="289"/>
      <c r="AL227" s="289"/>
      <c r="AM227" s="289"/>
      <c r="AN227" s="289"/>
      <c r="AO227" s="289"/>
      <c r="AP227" s="289"/>
      <c r="AQ227" s="289"/>
      <c r="AR227" s="289"/>
      <c r="AS227" s="289"/>
      <c r="AT227" s="289"/>
      <c r="AU227" s="289"/>
      <c r="AV227" s="289"/>
      <c r="AW227" s="289"/>
      <c r="AX227" s="289"/>
      <c r="AY227" s="289"/>
      <c r="AZ227" s="289"/>
      <c r="BA227" s="289"/>
      <c r="BB227" s="289"/>
      <c r="BC227" s="289"/>
      <c r="BD227" s="289"/>
      <c r="BE227" s="289"/>
      <c r="BF227" s="289"/>
      <c r="BG227" s="289"/>
      <c r="BH227" s="289"/>
      <c r="BI227" s="289"/>
      <c r="BJ227" s="289"/>
      <c r="BK227" s="289"/>
      <c r="BL227" s="289"/>
      <c r="BM227" s="289"/>
      <c r="BN227" s="289"/>
      <c r="BO227" s="289"/>
      <c r="BP227" s="289"/>
      <c r="BQ227" s="289"/>
      <c r="BR227" s="289"/>
      <c r="BS227" s="289"/>
      <c r="BT227" s="289"/>
      <c r="BU227" s="289"/>
      <c r="BV227" s="289"/>
    </row>
    <row r="228" spans="2:74" x14ac:dyDescent="0.2">
      <c r="B228" s="210"/>
      <c r="C228" s="203"/>
      <c r="D228" s="203"/>
      <c r="E228" s="288"/>
      <c r="F228" s="289"/>
      <c r="G228" s="289"/>
      <c r="H228" s="289"/>
      <c r="I228" s="289"/>
      <c r="J228" s="289"/>
      <c r="K228" s="289"/>
      <c r="L228" s="289"/>
      <c r="M228" s="289"/>
      <c r="N228" s="289"/>
      <c r="O228" s="289"/>
      <c r="P228" s="289"/>
      <c r="Q228" s="289"/>
      <c r="R228" s="289"/>
      <c r="S228" s="289"/>
      <c r="T228" s="289"/>
      <c r="U228" s="289"/>
      <c r="V228" s="289"/>
      <c r="W228" s="289"/>
      <c r="X228" s="289"/>
      <c r="Y228" s="289"/>
      <c r="Z228" s="289"/>
      <c r="AA228" s="289"/>
      <c r="AB228" s="289"/>
      <c r="AC228" s="289"/>
      <c r="AD228" s="289"/>
      <c r="AE228" s="289"/>
      <c r="AF228" s="289"/>
      <c r="AG228" s="289"/>
      <c r="AH228" s="289"/>
      <c r="AI228" s="289"/>
      <c r="AJ228" s="289"/>
      <c r="AK228" s="289"/>
      <c r="AL228" s="289"/>
      <c r="AM228" s="289"/>
      <c r="AN228" s="289"/>
      <c r="AO228" s="289"/>
      <c r="AP228" s="289"/>
      <c r="AQ228" s="289"/>
      <c r="AR228" s="289"/>
      <c r="AS228" s="289"/>
      <c r="AT228" s="289"/>
      <c r="AU228" s="289"/>
      <c r="AV228" s="289"/>
      <c r="AW228" s="289"/>
      <c r="AX228" s="289"/>
      <c r="AY228" s="289"/>
      <c r="AZ228" s="289"/>
      <c r="BA228" s="289"/>
      <c r="BB228" s="289"/>
      <c r="BC228" s="289"/>
      <c r="BD228" s="289"/>
      <c r="BE228" s="289"/>
      <c r="BF228" s="289"/>
      <c r="BG228" s="289"/>
      <c r="BH228" s="289"/>
      <c r="BI228" s="289"/>
      <c r="BJ228" s="289"/>
      <c r="BK228" s="289"/>
      <c r="BL228" s="289"/>
      <c r="BM228" s="289"/>
      <c r="BN228" s="289"/>
      <c r="BO228" s="289"/>
      <c r="BP228" s="289"/>
      <c r="BQ228" s="289"/>
      <c r="BR228" s="289"/>
      <c r="BS228" s="289"/>
      <c r="BT228" s="289"/>
      <c r="BU228" s="289"/>
      <c r="BV228" s="289"/>
    </row>
    <row r="229" spans="2:74" x14ac:dyDescent="0.2">
      <c r="B229" s="210"/>
      <c r="C229" s="203"/>
      <c r="D229" s="203"/>
      <c r="E229" s="288"/>
      <c r="F229" s="289"/>
      <c r="G229" s="289"/>
      <c r="H229" s="289"/>
      <c r="I229" s="289"/>
      <c r="J229" s="289"/>
      <c r="K229" s="289"/>
      <c r="L229" s="289"/>
      <c r="M229" s="289"/>
      <c r="N229" s="289"/>
      <c r="O229" s="289"/>
      <c r="P229" s="289"/>
      <c r="Q229" s="289"/>
      <c r="R229" s="289"/>
      <c r="S229" s="289"/>
      <c r="T229" s="289"/>
      <c r="U229" s="289"/>
      <c r="V229" s="289"/>
      <c r="W229" s="289"/>
      <c r="X229" s="289"/>
      <c r="Y229" s="289"/>
      <c r="Z229" s="289"/>
      <c r="AA229" s="289"/>
      <c r="AB229" s="289"/>
      <c r="AC229" s="289"/>
      <c r="AD229" s="289"/>
      <c r="AE229" s="289"/>
      <c r="AF229" s="289"/>
      <c r="AG229" s="289"/>
      <c r="AH229" s="289"/>
      <c r="AI229" s="289"/>
      <c r="AJ229" s="289"/>
      <c r="AK229" s="289"/>
      <c r="AL229" s="289"/>
      <c r="AM229" s="289"/>
      <c r="AN229" s="289"/>
      <c r="AO229" s="289"/>
      <c r="AP229" s="289"/>
      <c r="AQ229" s="289"/>
      <c r="AR229" s="289"/>
      <c r="AS229" s="289"/>
      <c r="AT229" s="289"/>
      <c r="AU229" s="289"/>
      <c r="AV229" s="289"/>
      <c r="AW229" s="289"/>
      <c r="AX229" s="289"/>
      <c r="AY229" s="289"/>
      <c r="AZ229" s="289"/>
      <c r="BA229" s="289"/>
      <c r="BB229" s="289"/>
      <c r="BC229" s="289"/>
      <c r="BD229" s="289"/>
      <c r="BE229" s="289"/>
      <c r="BF229" s="289"/>
      <c r="BG229" s="289"/>
      <c r="BH229" s="289"/>
      <c r="BI229" s="289"/>
      <c r="BJ229" s="289"/>
      <c r="BK229" s="289"/>
      <c r="BL229" s="289"/>
      <c r="BM229" s="289"/>
      <c r="BN229" s="289"/>
      <c r="BO229" s="289"/>
      <c r="BP229" s="289"/>
      <c r="BQ229" s="289"/>
      <c r="BR229" s="289"/>
      <c r="BS229" s="289"/>
      <c r="BT229" s="289"/>
      <c r="BU229" s="289"/>
      <c r="BV229" s="289"/>
    </row>
    <row r="230" spans="2:74" x14ac:dyDescent="0.2">
      <c r="B230" s="210"/>
      <c r="C230" s="203"/>
      <c r="D230" s="203"/>
      <c r="E230" s="288"/>
      <c r="F230" s="289"/>
      <c r="G230" s="289"/>
      <c r="H230" s="289"/>
      <c r="I230" s="289"/>
      <c r="J230" s="289"/>
      <c r="K230" s="289"/>
      <c r="L230" s="289"/>
      <c r="M230" s="289"/>
      <c r="N230" s="289"/>
      <c r="O230" s="289"/>
      <c r="P230" s="289"/>
      <c r="Q230" s="289"/>
      <c r="R230" s="289"/>
      <c r="S230" s="289"/>
      <c r="T230" s="289"/>
      <c r="U230" s="289"/>
      <c r="V230" s="289"/>
      <c r="W230" s="289"/>
      <c r="X230" s="289"/>
      <c r="Y230" s="289"/>
      <c r="Z230" s="289"/>
      <c r="AA230" s="289"/>
      <c r="AB230" s="289"/>
      <c r="AC230" s="289"/>
      <c r="AD230" s="289"/>
      <c r="AE230" s="289"/>
      <c r="AF230" s="289"/>
      <c r="AG230" s="289"/>
      <c r="AH230" s="289"/>
      <c r="AI230" s="289"/>
      <c r="AJ230" s="289"/>
      <c r="AK230" s="289"/>
      <c r="AL230" s="289"/>
      <c r="AM230" s="289"/>
      <c r="AN230" s="289"/>
      <c r="AO230" s="289"/>
      <c r="AP230" s="289"/>
      <c r="AQ230" s="289"/>
      <c r="AR230" s="289"/>
      <c r="AS230" s="289"/>
      <c r="AT230" s="289"/>
      <c r="AU230" s="289"/>
      <c r="AV230" s="289"/>
      <c r="AW230" s="289"/>
      <c r="AX230" s="289"/>
      <c r="AY230" s="289"/>
      <c r="AZ230" s="289"/>
      <c r="BA230" s="289"/>
      <c r="BB230" s="289"/>
      <c r="BC230" s="289"/>
      <c r="BD230" s="289"/>
      <c r="BE230" s="289"/>
      <c r="BF230" s="289"/>
      <c r="BG230" s="289"/>
      <c r="BH230" s="289"/>
      <c r="BI230" s="289"/>
      <c r="BJ230" s="289"/>
      <c r="BK230" s="289"/>
      <c r="BL230" s="289"/>
      <c r="BM230" s="289"/>
      <c r="BN230" s="289"/>
      <c r="BO230" s="289"/>
      <c r="BP230" s="289"/>
      <c r="BQ230" s="289"/>
      <c r="BR230" s="289"/>
      <c r="BS230" s="289"/>
      <c r="BT230" s="289"/>
      <c r="BU230" s="289"/>
      <c r="BV230" s="289"/>
    </row>
    <row r="231" spans="2:74" x14ac:dyDescent="0.2">
      <c r="B231" s="210"/>
      <c r="C231" s="203"/>
      <c r="D231" s="203"/>
      <c r="E231" s="288"/>
      <c r="F231" s="289"/>
      <c r="G231" s="289"/>
      <c r="H231" s="289"/>
      <c r="I231" s="289"/>
      <c r="J231" s="289"/>
      <c r="K231" s="289"/>
      <c r="L231" s="289"/>
      <c r="M231" s="289"/>
      <c r="N231" s="289"/>
      <c r="O231" s="289"/>
      <c r="P231" s="289"/>
      <c r="Q231" s="289"/>
      <c r="R231" s="289"/>
      <c r="S231" s="289"/>
      <c r="T231" s="289"/>
      <c r="U231" s="289"/>
      <c r="V231" s="289"/>
      <c r="W231" s="289"/>
      <c r="X231" s="289"/>
      <c r="Y231" s="289"/>
      <c r="Z231" s="289"/>
      <c r="AA231" s="289"/>
      <c r="AB231" s="289"/>
      <c r="AC231" s="289"/>
      <c r="AD231" s="289"/>
      <c r="AE231" s="289"/>
      <c r="AF231" s="289"/>
      <c r="AG231" s="289"/>
      <c r="AH231" s="289"/>
      <c r="AI231" s="289"/>
      <c r="AJ231" s="289"/>
      <c r="AK231" s="289"/>
      <c r="AL231" s="289"/>
      <c r="AM231" s="289"/>
      <c r="AN231" s="289"/>
      <c r="AO231" s="289"/>
      <c r="AP231" s="289"/>
      <c r="AQ231" s="289"/>
      <c r="AR231" s="289"/>
      <c r="AS231" s="289"/>
      <c r="AT231" s="289"/>
      <c r="AU231" s="289"/>
      <c r="AV231" s="289"/>
      <c r="AW231" s="289"/>
      <c r="AX231" s="289"/>
      <c r="AY231" s="289"/>
      <c r="AZ231" s="289"/>
      <c r="BA231" s="289"/>
      <c r="BB231" s="289"/>
      <c r="BC231" s="289"/>
      <c r="BD231" s="289"/>
      <c r="BE231" s="289"/>
      <c r="BF231" s="289"/>
      <c r="BG231" s="289"/>
      <c r="BH231" s="289"/>
      <c r="BI231" s="289"/>
      <c r="BJ231" s="289"/>
      <c r="BK231" s="289"/>
      <c r="BL231" s="289"/>
      <c r="BM231" s="289"/>
      <c r="BN231" s="289"/>
      <c r="BO231" s="289"/>
      <c r="BP231" s="289"/>
      <c r="BQ231" s="289"/>
      <c r="BR231" s="289"/>
      <c r="BS231" s="289"/>
      <c r="BT231" s="289"/>
      <c r="BU231" s="289"/>
      <c r="BV231" s="289"/>
    </row>
    <row r="232" spans="2:74" x14ac:dyDescent="0.2">
      <c r="B232" s="210"/>
      <c r="C232" s="203"/>
      <c r="D232" s="203"/>
      <c r="E232" s="288"/>
      <c r="F232" s="289"/>
      <c r="G232" s="289"/>
      <c r="H232" s="289"/>
      <c r="I232" s="289"/>
      <c r="J232" s="289"/>
      <c r="K232" s="289"/>
      <c r="L232" s="289"/>
      <c r="M232" s="289"/>
      <c r="N232" s="289"/>
      <c r="O232" s="289"/>
      <c r="P232" s="289"/>
      <c r="Q232" s="289"/>
      <c r="R232" s="289"/>
      <c r="S232" s="289"/>
      <c r="T232" s="289"/>
      <c r="U232" s="289"/>
      <c r="V232" s="289"/>
      <c r="W232" s="289"/>
      <c r="X232" s="289"/>
      <c r="Y232" s="289"/>
      <c r="Z232" s="289"/>
      <c r="AA232" s="289"/>
      <c r="AB232" s="289"/>
      <c r="AC232" s="289"/>
      <c r="AD232" s="289"/>
      <c r="AE232" s="289"/>
      <c r="AF232" s="289"/>
      <c r="AG232" s="289"/>
      <c r="AH232" s="289"/>
      <c r="AI232" s="289"/>
      <c r="AJ232" s="289"/>
      <c r="AK232" s="289"/>
      <c r="AL232" s="289"/>
      <c r="AM232" s="289"/>
      <c r="AN232" s="289"/>
      <c r="AO232" s="289"/>
      <c r="AP232" s="289"/>
      <c r="AQ232" s="289"/>
      <c r="AR232" s="289"/>
      <c r="AS232" s="289"/>
      <c r="AT232" s="289"/>
      <c r="AU232" s="289"/>
      <c r="AV232" s="289"/>
      <c r="AW232" s="289"/>
      <c r="AX232" s="289"/>
      <c r="AY232" s="289"/>
      <c r="AZ232" s="289"/>
      <c r="BA232" s="289"/>
      <c r="BB232" s="289"/>
      <c r="BC232" s="289"/>
      <c r="BD232" s="289"/>
      <c r="BE232" s="289"/>
      <c r="BF232" s="289"/>
      <c r="BG232" s="289"/>
      <c r="BH232" s="289"/>
      <c r="BI232" s="289"/>
      <c r="BJ232" s="289"/>
      <c r="BK232" s="289"/>
      <c r="BL232" s="289"/>
      <c r="BM232" s="289"/>
      <c r="BN232" s="289"/>
      <c r="BO232" s="289"/>
      <c r="BP232" s="289"/>
      <c r="BQ232" s="289"/>
      <c r="BR232" s="289"/>
      <c r="BS232" s="289"/>
      <c r="BT232" s="289"/>
      <c r="BU232" s="289"/>
      <c r="BV232" s="289"/>
    </row>
    <row r="233" spans="2:74" x14ac:dyDescent="0.2">
      <c r="B233" s="210"/>
      <c r="C233" s="203"/>
      <c r="D233" s="203"/>
      <c r="E233" s="288"/>
      <c r="F233" s="289"/>
      <c r="G233" s="289"/>
      <c r="H233" s="289"/>
      <c r="I233" s="289"/>
      <c r="J233" s="289"/>
      <c r="K233" s="289"/>
      <c r="L233" s="289"/>
      <c r="M233" s="289"/>
      <c r="N233" s="289"/>
      <c r="O233" s="289"/>
      <c r="P233" s="289"/>
      <c r="Q233" s="289"/>
      <c r="R233" s="289"/>
      <c r="S233" s="289"/>
      <c r="T233" s="289"/>
      <c r="U233" s="289"/>
      <c r="V233" s="289"/>
      <c r="W233" s="289"/>
      <c r="X233" s="289"/>
      <c r="Y233" s="289"/>
      <c r="Z233" s="289"/>
      <c r="AA233" s="289"/>
      <c r="AB233" s="289"/>
      <c r="AC233" s="289"/>
      <c r="AD233" s="289"/>
      <c r="AE233" s="289"/>
      <c r="AF233" s="289"/>
      <c r="AG233" s="289"/>
      <c r="AH233" s="289"/>
      <c r="AI233" s="289"/>
      <c r="AJ233" s="289"/>
      <c r="AK233" s="289"/>
      <c r="AL233" s="289"/>
      <c r="AM233" s="289"/>
      <c r="AN233" s="289"/>
      <c r="AO233" s="289"/>
      <c r="AP233" s="289"/>
      <c r="AQ233" s="289"/>
      <c r="AR233" s="289"/>
      <c r="AS233" s="289"/>
      <c r="AT233" s="289"/>
      <c r="AU233" s="289"/>
      <c r="AV233" s="289"/>
      <c r="AW233" s="289"/>
      <c r="AX233" s="289"/>
      <c r="AY233" s="289"/>
      <c r="AZ233" s="289"/>
      <c r="BA233" s="289"/>
      <c r="BB233" s="289"/>
      <c r="BC233" s="289"/>
      <c r="BD233" s="289"/>
      <c r="BE233" s="289"/>
      <c r="BF233" s="289"/>
      <c r="BG233" s="289"/>
      <c r="BH233" s="289"/>
      <c r="BI233" s="289"/>
      <c r="BJ233" s="289"/>
      <c r="BK233" s="289"/>
      <c r="BL233" s="289"/>
      <c r="BM233" s="289"/>
      <c r="BN233" s="289"/>
      <c r="BO233" s="289"/>
      <c r="BP233" s="289"/>
      <c r="BQ233" s="289"/>
      <c r="BR233" s="289"/>
      <c r="BS233" s="289"/>
      <c r="BT233" s="289"/>
      <c r="BU233" s="289"/>
      <c r="BV233" s="289"/>
    </row>
    <row r="234" spans="2:74" x14ac:dyDescent="0.2">
      <c r="B234" s="210"/>
      <c r="C234" s="203"/>
      <c r="D234" s="203"/>
      <c r="E234" s="288"/>
      <c r="F234" s="289"/>
      <c r="G234" s="289"/>
      <c r="H234" s="289"/>
      <c r="I234" s="289"/>
      <c r="J234" s="289"/>
      <c r="K234" s="289"/>
      <c r="L234" s="289"/>
      <c r="M234" s="289"/>
      <c r="N234" s="289"/>
      <c r="O234" s="289"/>
      <c r="P234" s="289"/>
      <c r="Q234" s="289"/>
      <c r="R234" s="289"/>
      <c r="S234" s="289"/>
      <c r="T234" s="289"/>
      <c r="U234" s="289"/>
      <c r="V234" s="289"/>
      <c r="W234" s="289"/>
      <c r="X234" s="289"/>
      <c r="Y234" s="289"/>
      <c r="Z234" s="289"/>
      <c r="AA234" s="289"/>
      <c r="AB234" s="289"/>
      <c r="AC234" s="289"/>
      <c r="AD234" s="289"/>
      <c r="AE234" s="289"/>
      <c r="AF234" s="289"/>
      <c r="AG234" s="289"/>
      <c r="AH234" s="289"/>
      <c r="AI234" s="289"/>
      <c r="AJ234" s="289"/>
      <c r="AK234" s="289"/>
      <c r="AL234" s="289"/>
      <c r="AM234" s="289"/>
      <c r="AN234" s="289"/>
      <c r="AO234" s="289"/>
      <c r="AP234" s="289"/>
      <c r="AQ234" s="289"/>
      <c r="AR234" s="289"/>
      <c r="AS234" s="289"/>
      <c r="AT234" s="289"/>
      <c r="AU234" s="289"/>
      <c r="AV234" s="289"/>
      <c r="AW234" s="289"/>
      <c r="AX234" s="289"/>
      <c r="AY234" s="289"/>
      <c r="AZ234" s="289"/>
      <c r="BA234" s="289"/>
      <c r="BB234" s="289"/>
      <c r="BC234" s="289"/>
      <c r="BD234" s="289"/>
      <c r="BE234" s="289"/>
      <c r="BF234" s="289"/>
      <c r="BG234" s="289"/>
      <c r="BH234" s="289"/>
      <c r="BI234" s="289"/>
      <c r="BJ234" s="289"/>
      <c r="BK234" s="289"/>
      <c r="BL234" s="289"/>
      <c r="BM234" s="289"/>
      <c r="BN234" s="289"/>
      <c r="BO234" s="289"/>
      <c r="BP234" s="289"/>
      <c r="BQ234" s="289"/>
      <c r="BR234" s="289"/>
      <c r="BS234" s="289"/>
      <c r="BT234" s="289"/>
      <c r="BU234" s="289"/>
      <c r="BV234" s="289"/>
    </row>
    <row r="235" spans="2:74" x14ac:dyDescent="0.2">
      <c r="B235" s="210"/>
      <c r="C235" s="203"/>
      <c r="D235" s="203"/>
      <c r="E235" s="288"/>
      <c r="F235" s="289"/>
      <c r="G235" s="289"/>
      <c r="H235" s="289"/>
      <c r="I235" s="289"/>
      <c r="J235" s="289"/>
      <c r="K235" s="289"/>
      <c r="L235" s="289"/>
      <c r="M235" s="289"/>
      <c r="N235" s="289"/>
      <c r="O235" s="289"/>
      <c r="P235" s="289"/>
      <c r="Q235" s="289"/>
      <c r="R235" s="289"/>
      <c r="S235" s="289"/>
      <c r="T235" s="289"/>
      <c r="U235" s="289"/>
      <c r="V235" s="289"/>
      <c r="W235" s="289"/>
      <c r="X235" s="289"/>
      <c r="Y235" s="289"/>
      <c r="Z235" s="289"/>
      <c r="AA235" s="289"/>
      <c r="AB235" s="289"/>
      <c r="AC235" s="289"/>
      <c r="AD235" s="289"/>
      <c r="AE235" s="289"/>
      <c r="AF235" s="289"/>
      <c r="AG235" s="289"/>
      <c r="AH235" s="289"/>
      <c r="AI235" s="289"/>
      <c r="AJ235" s="289"/>
      <c r="AK235" s="289"/>
      <c r="AL235" s="289"/>
      <c r="AM235" s="289"/>
      <c r="AN235" s="289"/>
      <c r="AO235" s="289"/>
      <c r="AP235" s="289"/>
      <c r="AQ235" s="289"/>
      <c r="AR235" s="289"/>
      <c r="AS235" s="289"/>
      <c r="AT235" s="289"/>
      <c r="AU235" s="289"/>
      <c r="AV235" s="289"/>
      <c r="AW235" s="289"/>
      <c r="AX235" s="289"/>
      <c r="AY235" s="289"/>
      <c r="AZ235" s="289"/>
      <c r="BA235" s="289"/>
      <c r="BB235" s="289"/>
      <c r="BC235" s="289"/>
      <c r="BD235" s="289"/>
      <c r="BE235" s="289"/>
      <c r="BF235" s="289"/>
      <c r="BG235" s="289"/>
      <c r="BH235" s="289"/>
      <c r="BI235" s="289"/>
      <c r="BJ235" s="289"/>
      <c r="BK235" s="289"/>
      <c r="BL235" s="289"/>
      <c r="BM235" s="289"/>
      <c r="BN235" s="289"/>
      <c r="BO235" s="289"/>
      <c r="BP235" s="289"/>
      <c r="BQ235" s="289"/>
      <c r="BR235" s="289"/>
      <c r="BS235" s="289"/>
      <c r="BT235" s="289"/>
      <c r="BU235" s="289"/>
      <c r="BV235" s="289"/>
    </row>
    <row r="236" spans="2:74" x14ac:dyDescent="0.2">
      <c r="B236" s="210"/>
      <c r="C236" s="203"/>
      <c r="D236" s="203"/>
      <c r="E236" s="288"/>
      <c r="F236" s="289"/>
      <c r="G236" s="289"/>
      <c r="H236" s="289"/>
      <c r="I236" s="289"/>
      <c r="J236" s="289"/>
      <c r="K236" s="289"/>
      <c r="L236" s="289"/>
      <c r="M236" s="289"/>
      <c r="N236" s="289"/>
      <c r="O236" s="289"/>
      <c r="P236" s="289"/>
      <c r="Q236" s="289"/>
      <c r="R236" s="289"/>
      <c r="S236" s="289"/>
      <c r="T236" s="289"/>
      <c r="U236" s="289"/>
      <c r="V236" s="289"/>
      <c r="W236" s="289"/>
      <c r="X236" s="289"/>
      <c r="Y236" s="289"/>
      <c r="Z236" s="289"/>
      <c r="AA236" s="289"/>
      <c r="AB236" s="289"/>
      <c r="AC236" s="289"/>
      <c r="AD236" s="289"/>
      <c r="AE236" s="289"/>
      <c r="AF236" s="289"/>
      <c r="AG236" s="289"/>
      <c r="AH236" s="289"/>
      <c r="AI236" s="289"/>
      <c r="AJ236" s="289"/>
      <c r="AK236" s="289"/>
      <c r="AL236" s="289"/>
      <c r="AM236" s="289"/>
      <c r="AN236" s="289"/>
      <c r="AO236" s="289"/>
      <c r="AP236" s="289"/>
      <c r="AQ236" s="289"/>
      <c r="AR236" s="289"/>
      <c r="AS236" s="289"/>
      <c r="AT236" s="289"/>
      <c r="AU236" s="289"/>
      <c r="AV236" s="289"/>
      <c r="AW236" s="289"/>
      <c r="AX236" s="289"/>
      <c r="AY236" s="289"/>
      <c r="AZ236" s="289"/>
      <c r="BA236" s="289"/>
      <c r="BB236" s="289"/>
      <c r="BC236" s="289"/>
      <c r="BD236" s="289"/>
      <c r="BE236" s="289"/>
      <c r="BF236" s="289"/>
      <c r="BG236" s="289"/>
      <c r="BH236" s="289"/>
      <c r="BI236" s="289"/>
      <c r="BJ236" s="289"/>
      <c r="BK236" s="289"/>
      <c r="BL236" s="289"/>
      <c r="BM236" s="289"/>
      <c r="BN236" s="289"/>
      <c r="BO236" s="289"/>
      <c r="BP236" s="289"/>
      <c r="BQ236" s="289"/>
      <c r="BR236" s="289"/>
      <c r="BS236" s="289"/>
      <c r="BT236" s="289"/>
      <c r="BU236" s="289"/>
      <c r="BV236" s="289"/>
    </row>
    <row r="237" spans="2:74" x14ac:dyDescent="0.2">
      <c r="B237" s="210"/>
      <c r="C237" s="203"/>
      <c r="D237" s="203"/>
      <c r="E237" s="288"/>
      <c r="F237" s="289"/>
      <c r="G237" s="289"/>
      <c r="H237" s="289"/>
      <c r="I237" s="289"/>
      <c r="J237" s="289"/>
      <c r="K237" s="289"/>
      <c r="L237" s="289"/>
      <c r="M237" s="289"/>
      <c r="N237" s="289"/>
      <c r="O237" s="289"/>
      <c r="P237" s="289"/>
      <c r="Q237" s="289"/>
      <c r="R237" s="289"/>
      <c r="S237" s="289"/>
      <c r="T237" s="289"/>
      <c r="U237" s="289"/>
      <c r="V237" s="289"/>
      <c r="W237" s="289"/>
      <c r="X237" s="289"/>
      <c r="Y237" s="289"/>
      <c r="Z237" s="289"/>
      <c r="AA237" s="289"/>
      <c r="AB237" s="289"/>
      <c r="AC237" s="289"/>
      <c r="AD237" s="289"/>
      <c r="AE237" s="289"/>
      <c r="AF237" s="289"/>
      <c r="AG237" s="289"/>
      <c r="AH237" s="289"/>
      <c r="AI237" s="289"/>
      <c r="AJ237" s="289"/>
      <c r="AK237" s="289"/>
      <c r="AL237" s="289"/>
      <c r="AM237" s="289"/>
      <c r="AN237" s="289"/>
      <c r="AO237" s="289"/>
      <c r="AP237" s="289"/>
      <c r="AQ237" s="289"/>
      <c r="AR237" s="289"/>
      <c r="AS237" s="289"/>
      <c r="AT237" s="289"/>
      <c r="AU237" s="289"/>
      <c r="AV237" s="289"/>
      <c r="AW237" s="289"/>
      <c r="AX237" s="289"/>
      <c r="AY237" s="289"/>
      <c r="AZ237" s="289"/>
      <c r="BA237" s="289"/>
      <c r="BB237" s="289"/>
      <c r="BC237" s="289"/>
      <c r="BD237" s="289"/>
      <c r="BE237" s="289"/>
      <c r="BF237" s="289"/>
      <c r="BG237" s="289"/>
      <c r="BH237" s="289"/>
      <c r="BI237" s="289"/>
      <c r="BJ237" s="289"/>
      <c r="BK237" s="289"/>
      <c r="BL237" s="289"/>
      <c r="BM237" s="289"/>
      <c r="BN237" s="289"/>
      <c r="BO237" s="289"/>
      <c r="BP237" s="289"/>
      <c r="BQ237" s="289"/>
      <c r="BR237" s="289"/>
      <c r="BS237" s="289"/>
      <c r="BT237" s="289"/>
      <c r="BU237" s="289"/>
      <c r="BV237" s="289"/>
    </row>
    <row r="238" spans="2:74" x14ac:dyDescent="0.2">
      <c r="B238" s="210"/>
      <c r="C238" s="203"/>
      <c r="D238" s="203"/>
      <c r="E238" s="288"/>
      <c r="F238" s="289"/>
      <c r="G238" s="289"/>
      <c r="H238" s="289"/>
      <c r="I238" s="289"/>
      <c r="J238" s="289"/>
      <c r="K238" s="289"/>
      <c r="L238" s="289"/>
      <c r="M238" s="289"/>
      <c r="N238" s="289"/>
      <c r="O238" s="289"/>
      <c r="P238" s="289"/>
      <c r="Q238" s="289"/>
      <c r="R238" s="289"/>
      <c r="S238" s="289"/>
      <c r="T238" s="289"/>
      <c r="U238" s="289"/>
      <c r="V238" s="289"/>
      <c r="W238" s="289"/>
      <c r="X238" s="289"/>
      <c r="Y238" s="289"/>
      <c r="Z238" s="289"/>
      <c r="AA238" s="289"/>
      <c r="AB238" s="289"/>
      <c r="AC238" s="289"/>
      <c r="AD238" s="289"/>
      <c r="AE238" s="289"/>
      <c r="AF238" s="289"/>
      <c r="AG238" s="289"/>
      <c r="AH238" s="289"/>
      <c r="AI238" s="289"/>
      <c r="AJ238" s="289"/>
      <c r="AK238" s="289"/>
      <c r="AL238" s="289"/>
      <c r="AM238" s="289"/>
      <c r="AN238" s="289"/>
      <c r="AO238" s="289"/>
      <c r="AP238" s="289"/>
      <c r="AQ238" s="289"/>
      <c r="AR238" s="289"/>
      <c r="AS238" s="289"/>
      <c r="AT238" s="289"/>
      <c r="AU238" s="289"/>
      <c r="AV238" s="289"/>
      <c r="AW238" s="289"/>
      <c r="AX238" s="289"/>
      <c r="AY238" s="289"/>
      <c r="AZ238" s="289"/>
      <c r="BA238" s="289"/>
      <c r="BB238" s="289"/>
      <c r="BC238" s="289"/>
      <c r="BD238" s="289"/>
      <c r="BE238" s="289"/>
      <c r="BF238" s="289"/>
      <c r="BG238" s="289"/>
      <c r="BH238" s="289"/>
      <c r="BI238" s="289"/>
      <c r="BJ238" s="289"/>
      <c r="BK238" s="289"/>
      <c r="BL238" s="289"/>
      <c r="BM238" s="289"/>
      <c r="BN238" s="289"/>
      <c r="BO238" s="289"/>
      <c r="BP238" s="289"/>
      <c r="BQ238" s="289"/>
      <c r="BR238" s="289"/>
      <c r="BS238" s="289"/>
      <c r="BT238" s="289"/>
      <c r="BU238" s="289"/>
      <c r="BV238" s="289"/>
    </row>
    <row r="239" spans="2:74" x14ac:dyDescent="0.2">
      <c r="B239" s="210"/>
      <c r="C239" s="203"/>
      <c r="D239" s="203"/>
      <c r="E239" s="288"/>
      <c r="F239" s="289"/>
      <c r="G239" s="289"/>
      <c r="H239" s="289"/>
      <c r="I239" s="289"/>
      <c r="J239" s="289"/>
      <c r="K239" s="289"/>
      <c r="L239" s="289"/>
      <c r="M239" s="289"/>
      <c r="N239" s="289"/>
      <c r="O239" s="289"/>
      <c r="P239" s="289"/>
      <c r="Q239" s="289"/>
      <c r="R239" s="289"/>
      <c r="S239" s="289"/>
      <c r="T239" s="289"/>
      <c r="U239" s="289"/>
      <c r="V239" s="289"/>
      <c r="W239" s="289"/>
      <c r="X239" s="289"/>
      <c r="Y239" s="289"/>
      <c r="Z239" s="289"/>
      <c r="AA239" s="289"/>
      <c r="AB239" s="289"/>
      <c r="AC239" s="289"/>
      <c r="AD239" s="289"/>
      <c r="AE239" s="289"/>
      <c r="AF239" s="289"/>
      <c r="AG239" s="289"/>
      <c r="AH239" s="289"/>
      <c r="AI239" s="289"/>
      <c r="AJ239" s="289"/>
      <c r="AK239" s="289"/>
      <c r="AL239" s="289"/>
      <c r="AM239" s="289"/>
      <c r="AN239" s="289"/>
      <c r="AO239" s="289"/>
      <c r="AP239" s="289"/>
      <c r="AQ239" s="289"/>
      <c r="AR239" s="289"/>
      <c r="AS239" s="289"/>
      <c r="AT239" s="289"/>
      <c r="AU239" s="289"/>
      <c r="AV239" s="289"/>
      <c r="AW239" s="289"/>
      <c r="AX239" s="289"/>
      <c r="AY239" s="289"/>
      <c r="AZ239" s="289"/>
      <c r="BA239" s="289"/>
      <c r="BB239" s="289"/>
      <c r="BC239" s="289"/>
      <c r="BD239" s="289"/>
      <c r="BE239" s="289"/>
      <c r="BF239" s="289"/>
      <c r="BG239" s="289"/>
      <c r="BH239" s="289"/>
      <c r="BI239" s="289"/>
      <c r="BJ239" s="289"/>
      <c r="BK239" s="289"/>
      <c r="BL239" s="289"/>
      <c r="BM239" s="289"/>
      <c r="BN239" s="289"/>
      <c r="BO239" s="289"/>
      <c r="BP239" s="289"/>
      <c r="BQ239" s="289"/>
      <c r="BR239" s="289"/>
      <c r="BS239" s="289"/>
      <c r="BT239" s="289"/>
      <c r="BU239" s="289"/>
      <c r="BV239" s="289"/>
    </row>
    <row r="240" spans="2:74" x14ac:dyDescent="0.2">
      <c r="B240" s="210"/>
      <c r="C240" s="203"/>
      <c r="D240" s="203"/>
      <c r="E240" s="288"/>
      <c r="F240" s="289"/>
      <c r="G240" s="289"/>
      <c r="H240" s="289"/>
      <c r="I240" s="289"/>
      <c r="J240" s="289"/>
      <c r="K240" s="289"/>
      <c r="L240" s="289"/>
      <c r="M240" s="289"/>
      <c r="N240" s="289"/>
      <c r="O240" s="289"/>
      <c r="P240" s="289"/>
      <c r="Q240" s="289"/>
      <c r="R240" s="289"/>
      <c r="S240" s="289"/>
      <c r="T240" s="289"/>
      <c r="U240" s="289"/>
      <c r="V240" s="289"/>
      <c r="W240" s="289"/>
      <c r="X240" s="289"/>
      <c r="Y240" s="289"/>
      <c r="Z240" s="289"/>
      <c r="AA240" s="289"/>
      <c r="AB240" s="289"/>
      <c r="AC240" s="289"/>
      <c r="AD240" s="289"/>
      <c r="AE240" s="289"/>
      <c r="AF240" s="289"/>
      <c r="AG240" s="289"/>
      <c r="AH240" s="289"/>
      <c r="AI240" s="289"/>
      <c r="AJ240" s="289"/>
      <c r="AK240" s="289"/>
      <c r="AL240" s="289"/>
      <c r="AM240" s="289"/>
      <c r="AN240" s="289"/>
      <c r="AO240" s="289"/>
      <c r="AP240" s="289"/>
      <c r="AQ240" s="289"/>
      <c r="AR240" s="289"/>
      <c r="AS240" s="289"/>
      <c r="AT240" s="289"/>
      <c r="AU240" s="289"/>
      <c r="AV240" s="289"/>
      <c r="AW240" s="289"/>
      <c r="AX240" s="289"/>
      <c r="AY240" s="289"/>
      <c r="AZ240" s="289"/>
      <c r="BA240" s="289"/>
      <c r="BB240" s="289"/>
      <c r="BC240" s="289"/>
      <c r="BD240" s="289"/>
      <c r="BE240" s="289"/>
      <c r="BF240" s="289"/>
      <c r="BG240" s="289"/>
      <c r="BH240" s="289"/>
      <c r="BI240" s="289"/>
      <c r="BJ240" s="289"/>
      <c r="BK240" s="289"/>
      <c r="BL240" s="289"/>
      <c r="BM240" s="289"/>
      <c r="BN240" s="289"/>
      <c r="BO240" s="289"/>
      <c r="BP240" s="289"/>
      <c r="BQ240" s="289"/>
      <c r="BR240" s="289"/>
      <c r="BS240" s="289"/>
      <c r="BT240" s="289"/>
      <c r="BU240" s="289"/>
      <c r="BV240" s="289"/>
    </row>
    <row r="241" spans="2:74" x14ac:dyDescent="0.2">
      <c r="B241" s="210"/>
      <c r="C241" s="203"/>
      <c r="D241" s="203"/>
      <c r="E241" s="288"/>
      <c r="F241" s="289"/>
      <c r="G241" s="289"/>
      <c r="H241" s="289"/>
      <c r="I241" s="289"/>
      <c r="J241" s="289"/>
      <c r="K241" s="289"/>
      <c r="L241" s="289"/>
      <c r="M241" s="289"/>
      <c r="N241" s="289"/>
      <c r="O241" s="289"/>
      <c r="P241" s="289"/>
      <c r="Q241" s="289"/>
      <c r="R241" s="289"/>
      <c r="S241" s="289"/>
      <c r="T241" s="289"/>
      <c r="U241" s="289"/>
      <c r="V241" s="289"/>
      <c r="W241" s="289"/>
      <c r="X241" s="289"/>
      <c r="Y241" s="289"/>
      <c r="Z241" s="289"/>
      <c r="AA241" s="289"/>
      <c r="AB241" s="289"/>
      <c r="AC241" s="289"/>
      <c r="AD241" s="289"/>
      <c r="AE241" s="289"/>
      <c r="AF241" s="289"/>
      <c r="AG241" s="289"/>
      <c r="AH241" s="289"/>
      <c r="AI241" s="289"/>
      <c r="AJ241" s="289"/>
      <c r="AK241" s="289"/>
      <c r="AL241" s="289"/>
      <c r="AM241" s="289"/>
      <c r="AN241" s="289"/>
      <c r="AO241" s="289"/>
      <c r="AP241" s="289"/>
      <c r="AQ241" s="289"/>
      <c r="AR241" s="289"/>
      <c r="AS241" s="289"/>
      <c r="AT241" s="289"/>
      <c r="AU241" s="289"/>
      <c r="AV241" s="289"/>
      <c r="AW241" s="289"/>
      <c r="AX241" s="289"/>
      <c r="AY241" s="289"/>
      <c r="AZ241" s="289"/>
      <c r="BA241" s="289"/>
      <c r="BB241" s="289"/>
      <c r="BC241" s="289"/>
      <c r="BD241" s="289"/>
      <c r="BE241" s="289"/>
      <c r="BF241" s="289"/>
      <c r="BG241" s="289"/>
      <c r="BH241" s="289"/>
      <c r="BI241" s="289"/>
      <c r="BJ241" s="289"/>
      <c r="BK241" s="289"/>
      <c r="BL241" s="289"/>
      <c r="BM241" s="289"/>
      <c r="BN241" s="289"/>
      <c r="BO241" s="289"/>
      <c r="BP241" s="289"/>
      <c r="BQ241" s="289"/>
      <c r="BR241" s="289"/>
      <c r="BS241" s="289"/>
      <c r="BT241" s="289"/>
      <c r="BU241" s="289"/>
      <c r="BV241" s="289"/>
    </row>
    <row r="242" spans="2:74" x14ac:dyDescent="0.2">
      <c r="B242" s="210"/>
      <c r="C242" s="203"/>
      <c r="D242" s="203"/>
      <c r="E242" s="288"/>
      <c r="F242" s="289"/>
      <c r="G242" s="289"/>
      <c r="H242" s="289"/>
      <c r="I242" s="289"/>
      <c r="J242" s="289"/>
      <c r="K242" s="289"/>
      <c r="L242" s="289"/>
      <c r="M242" s="289"/>
      <c r="N242" s="289"/>
      <c r="O242" s="289"/>
      <c r="P242" s="289"/>
      <c r="Q242" s="289"/>
      <c r="R242" s="289"/>
      <c r="S242" s="289"/>
      <c r="T242" s="289"/>
      <c r="U242" s="289"/>
      <c r="V242" s="289"/>
      <c r="W242" s="289"/>
      <c r="X242" s="289"/>
      <c r="Y242" s="289"/>
      <c r="Z242" s="289"/>
      <c r="AA242" s="289"/>
      <c r="AB242" s="289"/>
      <c r="AC242" s="289"/>
      <c r="AD242" s="289"/>
      <c r="AE242" s="289"/>
      <c r="AF242" s="289"/>
      <c r="AG242" s="289"/>
      <c r="AH242" s="289"/>
      <c r="AI242" s="289"/>
      <c r="AJ242" s="289"/>
      <c r="AK242" s="289"/>
      <c r="AL242" s="289"/>
      <c r="AM242" s="289"/>
      <c r="AN242" s="289"/>
      <c r="AO242" s="289"/>
      <c r="AP242" s="289"/>
      <c r="AQ242" s="289"/>
      <c r="AR242" s="289"/>
      <c r="AS242" s="289"/>
      <c r="AT242" s="289"/>
      <c r="AU242" s="289"/>
      <c r="AV242" s="289"/>
      <c r="AW242" s="289"/>
      <c r="AX242" s="289"/>
      <c r="AY242" s="289"/>
      <c r="AZ242" s="289"/>
      <c r="BA242" s="289"/>
      <c r="BB242" s="289"/>
      <c r="BC242" s="289"/>
      <c r="BD242" s="289"/>
      <c r="BE242" s="289"/>
      <c r="BF242" s="289"/>
      <c r="BG242" s="289"/>
      <c r="BH242" s="289"/>
      <c r="BI242" s="289"/>
      <c r="BJ242" s="289"/>
      <c r="BK242" s="289"/>
      <c r="BL242" s="289"/>
      <c r="BM242" s="289"/>
      <c r="BN242" s="289"/>
      <c r="BO242" s="289"/>
      <c r="BP242" s="289"/>
      <c r="BQ242" s="289"/>
      <c r="BR242" s="289"/>
      <c r="BS242" s="289"/>
      <c r="BT242" s="289"/>
      <c r="BU242" s="289"/>
      <c r="BV242" s="289"/>
    </row>
    <row r="243" spans="2:74" x14ac:dyDescent="0.2">
      <c r="B243" s="210"/>
      <c r="C243" s="203"/>
      <c r="D243" s="203"/>
      <c r="E243" s="288"/>
      <c r="F243" s="289"/>
      <c r="G243" s="289"/>
      <c r="H243" s="289"/>
      <c r="I243" s="289"/>
      <c r="J243" s="289"/>
      <c r="K243" s="289"/>
      <c r="L243" s="289"/>
      <c r="M243" s="289"/>
      <c r="N243" s="289"/>
      <c r="O243" s="289"/>
      <c r="P243" s="289"/>
      <c r="Q243" s="289"/>
      <c r="R243" s="289"/>
      <c r="S243" s="289"/>
      <c r="T243" s="289"/>
      <c r="U243" s="289"/>
      <c r="V243" s="289"/>
      <c r="W243" s="289"/>
      <c r="X243" s="289"/>
      <c r="Y243" s="289"/>
      <c r="Z243" s="289"/>
      <c r="AA243" s="289"/>
      <c r="AB243" s="289"/>
      <c r="AC243" s="289"/>
      <c r="AD243" s="289"/>
      <c r="AE243" s="289"/>
      <c r="AF243" s="289"/>
      <c r="AG243" s="289"/>
      <c r="AH243" s="289"/>
      <c r="AI243" s="289"/>
      <c r="AJ243" s="289"/>
      <c r="AK243" s="289"/>
      <c r="AL243" s="289"/>
      <c r="AM243" s="289"/>
      <c r="AN243" s="289"/>
      <c r="AO243" s="289"/>
      <c r="AP243" s="289"/>
      <c r="AQ243" s="289"/>
      <c r="AR243" s="289"/>
      <c r="AS243" s="289"/>
      <c r="AT243" s="289"/>
      <c r="AU243" s="289"/>
      <c r="AV243" s="289"/>
      <c r="AW243" s="289"/>
      <c r="AX243" s="289"/>
      <c r="AY243" s="289"/>
      <c r="AZ243" s="289"/>
      <c r="BA243" s="289"/>
      <c r="BB243" s="289"/>
      <c r="BC243" s="289"/>
      <c r="BD243" s="289"/>
      <c r="BE243" s="289"/>
      <c r="BF243" s="289"/>
      <c r="BG243" s="289"/>
      <c r="BH243" s="289"/>
      <c r="BI243" s="289"/>
      <c r="BJ243" s="289"/>
      <c r="BK243" s="289"/>
      <c r="BL243" s="289"/>
      <c r="BM243" s="289"/>
      <c r="BN243" s="289"/>
      <c r="BO243" s="289"/>
      <c r="BP243" s="289"/>
      <c r="BQ243" s="289"/>
      <c r="BR243" s="289"/>
      <c r="BS243" s="289"/>
      <c r="BT243" s="289"/>
      <c r="BU243" s="289"/>
      <c r="BV243" s="289"/>
    </row>
    <row r="244" spans="2:74" x14ac:dyDescent="0.2">
      <c r="B244" s="210"/>
      <c r="C244" s="203"/>
      <c r="D244" s="203"/>
      <c r="E244" s="288"/>
      <c r="F244" s="289"/>
      <c r="G244" s="289"/>
      <c r="H244" s="289"/>
      <c r="I244" s="289"/>
      <c r="J244" s="289"/>
      <c r="K244" s="289"/>
      <c r="L244" s="289"/>
      <c r="M244" s="289"/>
      <c r="N244" s="289"/>
      <c r="O244" s="289"/>
      <c r="P244" s="289"/>
      <c r="Q244" s="289"/>
      <c r="R244" s="289"/>
      <c r="S244" s="289"/>
      <c r="T244" s="289"/>
      <c r="U244" s="289"/>
      <c r="V244" s="289"/>
      <c r="W244" s="289"/>
      <c r="X244" s="289"/>
      <c r="Y244" s="289"/>
      <c r="Z244" s="289"/>
      <c r="AA244" s="289"/>
      <c r="AB244" s="289"/>
      <c r="AC244" s="289"/>
      <c r="AD244" s="289"/>
      <c r="AE244" s="289"/>
      <c r="AF244" s="289"/>
      <c r="AG244" s="289"/>
      <c r="AH244" s="289"/>
      <c r="AI244" s="289"/>
      <c r="AJ244" s="289"/>
      <c r="AK244" s="289"/>
      <c r="AL244" s="289"/>
      <c r="AM244" s="289"/>
      <c r="AN244" s="289"/>
      <c r="AO244" s="289"/>
      <c r="AP244" s="289"/>
      <c r="AQ244" s="289"/>
      <c r="AR244" s="289"/>
      <c r="AS244" s="289"/>
      <c r="AT244" s="289"/>
      <c r="AU244" s="289"/>
      <c r="AV244" s="289"/>
      <c r="AW244" s="289"/>
      <c r="AX244" s="289"/>
      <c r="AY244" s="289"/>
      <c r="AZ244" s="289"/>
      <c r="BA244" s="289"/>
      <c r="BB244" s="289"/>
      <c r="BC244" s="289"/>
      <c r="BD244" s="289"/>
      <c r="BE244" s="289"/>
      <c r="BF244" s="289"/>
      <c r="BG244" s="289"/>
      <c r="BH244" s="289"/>
      <c r="BI244" s="289"/>
      <c r="BJ244" s="289"/>
      <c r="BK244" s="289"/>
      <c r="BL244" s="289"/>
      <c r="BM244" s="289"/>
      <c r="BN244" s="289"/>
      <c r="BO244" s="289"/>
      <c r="BP244" s="289"/>
      <c r="BQ244" s="289"/>
      <c r="BR244" s="289"/>
      <c r="BS244" s="289"/>
      <c r="BT244" s="289"/>
      <c r="BU244" s="289"/>
      <c r="BV244" s="289"/>
    </row>
    <row r="245" spans="2:74" x14ac:dyDescent="0.2">
      <c r="B245" s="210"/>
      <c r="C245" s="203"/>
      <c r="D245" s="203"/>
      <c r="E245" s="288"/>
      <c r="F245" s="289"/>
      <c r="G245" s="289"/>
      <c r="H245" s="289"/>
      <c r="I245" s="289"/>
      <c r="J245" s="289"/>
      <c r="K245" s="289"/>
      <c r="L245" s="289"/>
      <c r="M245" s="289"/>
      <c r="N245" s="289"/>
      <c r="O245" s="289"/>
      <c r="P245" s="289"/>
      <c r="Q245" s="289"/>
      <c r="R245" s="289"/>
      <c r="S245" s="289"/>
      <c r="T245" s="289"/>
      <c r="U245" s="289"/>
      <c r="V245" s="289"/>
      <c r="W245" s="289"/>
      <c r="X245" s="289"/>
      <c r="Y245" s="289"/>
      <c r="Z245" s="289"/>
      <c r="AA245" s="289"/>
      <c r="AB245" s="289"/>
      <c r="AC245" s="289"/>
      <c r="AD245" s="289"/>
      <c r="AE245" s="289"/>
      <c r="AF245" s="289"/>
      <c r="AG245" s="289"/>
      <c r="AH245" s="289"/>
      <c r="AI245" s="289"/>
      <c r="AJ245" s="289"/>
      <c r="AK245" s="289"/>
      <c r="AL245" s="289"/>
      <c r="AM245" s="289"/>
      <c r="AN245" s="289"/>
      <c r="AO245" s="289"/>
      <c r="AP245" s="289"/>
      <c r="AQ245" s="289"/>
      <c r="AR245" s="289"/>
      <c r="AS245" s="289"/>
      <c r="AT245" s="289"/>
      <c r="AU245" s="289"/>
      <c r="AV245" s="289"/>
      <c r="AW245" s="289"/>
      <c r="AX245" s="289"/>
      <c r="AY245" s="289"/>
      <c r="AZ245" s="289"/>
      <c r="BA245" s="289"/>
      <c r="BB245" s="289"/>
      <c r="BC245" s="289"/>
      <c r="BD245" s="289"/>
      <c r="BE245" s="289"/>
      <c r="BF245" s="289"/>
      <c r="BG245" s="289"/>
      <c r="BH245" s="289"/>
      <c r="BI245" s="289"/>
      <c r="BJ245" s="289"/>
      <c r="BK245" s="289"/>
      <c r="BL245" s="289"/>
      <c r="BM245" s="289"/>
      <c r="BN245" s="289"/>
      <c r="BO245" s="289"/>
      <c r="BP245" s="289"/>
      <c r="BQ245" s="289"/>
      <c r="BR245" s="289"/>
      <c r="BS245" s="289"/>
      <c r="BT245" s="289"/>
      <c r="BU245" s="289"/>
      <c r="BV245" s="289"/>
    </row>
    <row r="246" spans="2:74" x14ac:dyDescent="0.2">
      <c r="B246" s="210"/>
      <c r="C246" s="203"/>
      <c r="D246" s="203"/>
      <c r="E246" s="288"/>
      <c r="F246" s="289"/>
      <c r="G246" s="289"/>
      <c r="H246" s="289"/>
      <c r="I246" s="289"/>
      <c r="J246" s="289"/>
      <c r="K246" s="289"/>
      <c r="L246" s="289"/>
      <c r="M246" s="289"/>
      <c r="N246" s="289"/>
      <c r="O246" s="289"/>
      <c r="P246" s="289"/>
      <c r="Q246" s="289"/>
      <c r="R246" s="289"/>
      <c r="S246" s="289"/>
      <c r="T246" s="289"/>
      <c r="U246" s="289"/>
      <c r="V246" s="289"/>
      <c r="W246" s="289"/>
      <c r="X246" s="289"/>
      <c r="Y246" s="289"/>
      <c r="Z246" s="289"/>
      <c r="AA246" s="289"/>
      <c r="AB246" s="289"/>
      <c r="AC246" s="289"/>
      <c r="AD246" s="289"/>
      <c r="AE246" s="289"/>
      <c r="AF246" s="289"/>
      <c r="AG246" s="289"/>
      <c r="AH246" s="289"/>
      <c r="AI246" s="289"/>
      <c r="AJ246" s="289"/>
      <c r="AK246" s="289"/>
      <c r="AL246" s="289"/>
      <c r="AM246" s="289"/>
      <c r="AN246" s="289"/>
      <c r="AO246" s="289"/>
      <c r="AP246" s="289"/>
      <c r="AQ246" s="289"/>
      <c r="AR246" s="289"/>
      <c r="AS246" s="289"/>
      <c r="AT246" s="289"/>
      <c r="AU246" s="289"/>
      <c r="AV246" s="289"/>
      <c r="AW246" s="289"/>
      <c r="AX246" s="289"/>
      <c r="AY246" s="289"/>
      <c r="AZ246" s="289"/>
      <c r="BA246" s="289"/>
      <c r="BB246" s="289"/>
      <c r="BC246" s="289"/>
      <c r="BD246" s="289"/>
      <c r="BE246" s="289"/>
      <c r="BF246" s="289"/>
      <c r="BG246" s="289"/>
      <c r="BH246" s="289"/>
      <c r="BI246" s="289"/>
      <c r="BJ246" s="289"/>
      <c r="BK246" s="289"/>
      <c r="BL246" s="289"/>
      <c r="BM246" s="289"/>
      <c r="BN246" s="289"/>
      <c r="BO246" s="289"/>
      <c r="BP246" s="289"/>
      <c r="BQ246" s="289"/>
      <c r="BR246" s="289"/>
      <c r="BS246" s="289"/>
      <c r="BT246" s="289"/>
      <c r="BU246" s="289"/>
      <c r="BV246" s="289"/>
    </row>
    <row r="247" spans="2:74" x14ac:dyDescent="0.2">
      <c r="B247" s="210"/>
      <c r="C247" s="203"/>
      <c r="D247" s="203"/>
      <c r="E247" s="288"/>
      <c r="F247" s="289"/>
      <c r="G247" s="289"/>
      <c r="H247" s="289"/>
      <c r="I247" s="289"/>
      <c r="J247" s="289"/>
      <c r="K247" s="289"/>
      <c r="L247" s="289"/>
      <c r="M247" s="289"/>
      <c r="N247" s="289"/>
      <c r="O247" s="289"/>
      <c r="P247" s="289"/>
      <c r="Q247" s="289"/>
      <c r="R247" s="289"/>
      <c r="S247" s="289"/>
      <c r="T247" s="289"/>
      <c r="U247" s="289"/>
      <c r="V247" s="289"/>
      <c r="W247" s="289"/>
      <c r="X247" s="289"/>
      <c r="Y247" s="289"/>
      <c r="Z247" s="289"/>
      <c r="AA247" s="289"/>
      <c r="AB247" s="289"/>
      <c r="AC247" s="289"/>
      <c r="AD247" s="289"/>
      <c r="AE247" s="289"/>
      <c r="AF247" s="289"/>
      <c r="AG247" s="289"/>
      <c r="AH247" s="289"/>
      <c r="AI247" s="289"/>
      <c r="AJ247" s="289"/>
      <c r="AK247" s="289"/>
      <c r="AL247" s="289"/>
      <c r="AM247" s="289"/>
      <c r="AN247" s="289"/>
      <c r="AO247" s="289"/>
      <c r="AP247" s="289"/>
      <c r="AQ247" s="289"/>
      <c r="AR247" s="289"/>
      <c r="AS247" s="289"/>
      <c r="AT247" s="289"/>
      <c r="AU247" s="289"/>
      <c r="AV247" s="289"/>
      <c r="AW247" s="289"/>
      <c r="AX247" s="289"/>
      <c r="AY247" s="289"/>
      <c r="AZ247" s="289"/>
      <c r="BA247" s="289"/>
      <c r="BB247" s="289"/>
      <c r="BC247" s="289"/>
      <c r="BD247" s="289"/>
      <c r="BE247" s="289"/>
      <c r="BF247" s="289"/>
      <c r="BG247" s="289"/>
      <c r="BH247" s="289"/>
      <c r="BI247" s="289"/>
      <c r="BJ247" s="289"/>
      <c r="BK247" s="289"/>
      <c r="BL247" s="289"/>
      <c r="BM247" s="289"/>
      <c r="BN247" s="289"/>
      <c r="BO247" s="289"/>
      <c r="BP247" s="289"/>
      <c r="BQ247" s="289"/>
      <c r="BR247" s="289"/>
      <c r="BS247" s="289"/>
      <c r="BT247" s="289"/>
      <c r="BU247" s="289"/>
      <c r="BV247" s="289"/>
    </row>
    <row r="248" spans="2:74" x14ac:dyDescent="0.2">
      <c r="B248" s="210"/>
      <c r="C248" s="203"/>
      <c r="D248" s="203"/>
      <c r="E248" s="288"/>
      <c r="F248" s="289"/>
      <c r="G248" s="289"/>
      <c r="H248" s="289"/>
      <c r="I248" s="289"/>
      <c r="J248" s="289"/>
      <c r="K248" s="289"/>
      <c r="L248" s="289"/>
      <c r="M248" s="289"/>
      <c r="N248" s="289"/>
      <c r="O248" s="289"/>
      <c r="P248" s="289"/>
      <c r="Q248" s="289"/>
      <c r="R248" s="289"/>
      <c r="S248" s="289"/>
      <c r="T248" s="289"/>
      <c r="U248" s="289"/>
      <c r="V248" s="289"/>
      <c r="W248" s="289"/>
      <c r="X248" s="289"/>
      <c r="Y248" s="289"/>
      <c r="Z248" s="289"/>
      <c r="AA248" s="289"/>
      <c r="AB248" s="289"/>
      <c r="AC248" s="289"/>
      <c r="AD248" s="289"/>
      <c r="AE248" s="289"/>
      <c r="AF248" s="289"/>
      <c r="AG248" s="289"/>
      <c r="AH248" s="289"/>
      <c r="AI248" s="289"/>
      <c r="AJ248" s="289"/>
      <c r="AK248" s="289"/>
      <c r="AL248" s="289"/>
      <c r="AM248" s="289"/>
      <c r="AN248" s="289"/>
      <c r="AO248" s="289"/>
      <c r="AP248" s="289"/>
      <c r="AQ248" s="289"/>
      <c r="AR248" s="289"/>
      <c r="AS248" s="289"/>
      <c r="AT248" s="289"/>
      <c r="AU248" s="289"/>
      <c r="AV248" s="289"/>
      <c r="AW248" s="289"/>
      <c r="AX248" s="289"/>
      <c r="AY248" s="289"/>
      <c r="AZ248" s="289"/>
      <c r="BA248" s="289"/>
      <c r="BB248" s="289"/>
      <c r="BC248" s="289"/>
      <c r="BD248" s="289"/>
      <c r="BE248" s="289"/>
      <c r="BF248" s="289"/>
      <c r="BG248" s="289"/>
      <c r="BH248" s="289"/>
      <c r="BI248" s="289"/>
      <c r="BJ248" s="289"/>
      <c r="BK248" s="289"/>
      <c r="BL248" s="289"/>
      <c r="BM248" s="289"/>
      <c r="BN248" s="289"/>
      <c r="BO248" s="289"/>
      <c r="BP248" s="289"/>
      <c r="BQ248" s="289"/>
      <c r="BR248" s="289"/>
      <c r="BS248" s="289"/>
      <c r="BT248" s="289"/>
      <c r="BU248" s="289"/>
      <c r="BV248" s="289"/>
    </row>
    <row r="249" spans="2:74" x14ac:dyDescent="0.2">
      <c r="B249" s="210"/>
      <c r="C249" s="203"/>
      <c r="D249" s="203"/>
      <c r="E249" s="288"/>
      <c r="F249" s="289"/>
      <c r="G249" s="289"/>
      <c r="H249" s="289"/>
      <c r="I249" s="289"/>
      <c r="J249" s="289"/>
      <c r="K249" s="289"/>
      <c r="L249" s="289"/>
      <c r="M249" s="289"/>
      <c r="N249" s="289"/>
      <c r="O249" s="289"/>
      <c r="P249" s="289"/>
      <c r="Q249" s="289"/>
      <c r="R249" s="289"/>
      <c r="S249" s="289"/>
      <c r="T249" s="289"/>
      <c r="U249" s="289"/>
      <c r="V249" s="289"/>
      <c r="W249" s="289"/>
      <c r="X249" s="289"/>
      <c r="Y249" s="289"/>
      <c r="Z249" s="289"/>
      <c r="AA249" s="289"/>
      <c r="AB249" s="289"/>
      <c r="AC249" s="289"/>
      <c r="AD249" s="289"/>
      <c r="AE249" s="289"/>
      <c r="AF249" s="289"/>
      <c r="AG249" s="289"/>
      <c r="AH249" s="289"/>
      <c r="AI249" s="289"/>
      <c r="AJ249" s="289"/>
      <c r="AK249" s="289"/>
      <c r="AL249" s="289"/>
      <c r="AM249" s="289"/>
      <c r="AN249" s="289"/>
      <c r="AO249" s="289"/>
      <c r="AP249" s="289"/>
      <c r="AQ249" s="289"/>
      <c r="AR249" s="289"/>
      <c r="AS249" s="289"/>
      <c r="AT249" s="289"/>
      <c r="AU249" s="289"/>
      <c r="AV249" s="289"/>
      <c r="AW249" s="289"/>
      <c r="AX249" s="289"/>
      <c r="AY249" s="289"/>
      <c r="AZ249" s="289"/>
      <c r="BA249" s="289"/>
      <c r="BB249" s="289"/>
      <c r="BC249" s="289"/>
      <c r="BD249" s="289"/>
      <c r="BE249" s="289"/>
      <c r="BF249" s="289"/>
      <c r="BG249" s="289"/>
      <c r="BH249" s="289"/>
      <c r="BI249" s="289"/>
      <c r="BJ249" s="289"/>
      <c r="BK249" s="289"/>
      <c r="BL249" s="289"/>
      <c r="BM249" s="289"/>
      <c r="BN249" s="289"/>
      <c r="BO249" s="289"/>
      <c r="BP249" s="289"/>
      <c r="BQ249" s="289"/>
      <c r="BR249" s="289"/>
      <c r="BS249" s="289"/>
      <c r="BT249" s="289"/>
      <c r="BU249" s="289"/>
      <c r="BV249" s="289"/>
    </row>
    <row r="250" spans="2:74" x14ac:dyDescent="0.2">
      <c r="B250" s="210"/>
      <c r="C250" s="203"/>
      <c r="D250" s="203"/>
      <c r="E250" s="288"/>
      <c r="F250" s="289"/>
      <c r="G250" s="289"/>
      <c r="H250" s="289"/>
      <c r="I250" s="289"/>
      <c r="J250" s="289"/>
      <c r="K250" s="289"/>
      <c r="L250" s="289"/>
      <c r="M250" s="289"/>
      <c r="N250" s="289"/>
      <c r="O250" s="289"/>
      <c r="P250" s="289"/>
      <c r="Q250" s="289"/>
      <c r="R250" s="289"/>
      <c r="S250" s="289"/>
      <c r="T250" s="289"/>
      <c r="U250" s="289"/>
      <c r="V250" s="289"/>
      <c r="W250" s="289"/>
      <c r="X250" s="289"/>
      <c r="Y250" s="289"/>
      <c r="Z250" s="289"/>
      <c r="AA250" s="289"/>
      <c r="AB250" s="289"/>
      <c r="AC250" s="289"/>
      <c r="AD250" s="289"/>
      <c r="AE250" s="289"/>
      <c r="AF250" s="289"/>
      <c r="AG250" s="289"/>
      <c r="AH250" s="289"/>
      <c r="AI250" s="289"/>
      <c r="AJ250" s="289"/>
      <c r="AK250" s="289"/>
      <c r="AL250" s="289"/>
      <c r="AM250" s="289"/>
      <c r="AN250" s="289"/>
      <c r="AO250" s="289"/>
      <c r="AP250" s="289"/>
      <c r="AQ250" s="289"/>
      <c r="AR250" s="289"/>
      <c r="AS250" s="289"/>
      <c r="AT250" s="289"/>
      <c r="AU250" s="289"/>
      <c r="AV250" s="289"/>
      <c r="AW250" s="289"/>
      <c r="AX250" s="289"/>
      <c r="AY250" s="289"/>
      <c r="AZ250" s="289"/>
      <c r="BA250" s="289"/>
      <c r="BB250" s="289"/>
      <c r="BC250" s="289"/>
      <c r="BD250" s="289"/>
      <c r="BE250" s="289"/>
      <c r="BF250" s="289"/>
      <c r="BG250" s="289"/>
      <c r="BH250" s="289"/>
      <c r="BI250" s="289"/>
      <c r="BJ250" s="289"/>
      <c r="BK250" s="289"/>
      <c r="BL250" s="289"/>
      <c r="BM250" s="289"/>
      <c r="BN250" s="289"/>
      <c r="BO250" s="289"/>
      <c r="BP250" s="289"/>
      <c r="BQ250" s="289"/>
      <c r="BR250" s="289"/>
      <c r="BS250" s="289"/>
      <c r="BT250" s="289"/>
      <c r="BU250" s="289"/>
      <c r="BV250" s="289"/>
    </row>
    <row r="251" spans="2:74" x14ac:dyDescent="0.2">
      <c r="B251" s="210"/>
      <c r="C251" s="203"/>
      <c r="D251" s="203"/>
      <c r="E251" s="288"/>
      <c r="F251" s="289"/>
      <c r="G251" s="289"/>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89"/>
      <c r="AY251" s="289"/>
      <c r="AZ251" s="289"/>
      <c r="BA251" s="289"/>
      <c r="BB251" s="289"/>
      <c r="BC251" s="289"/>
      <c r="BD251" s="289"/>
      <c r="BE251" s="289"/>
      <c r="BF251" s="289"/>
      <c r="BG251" s="289"/>
      <c r="BH251" s="289"/>
      <c r="BI251" s="289"/>
      <c r="BJ251" s="289"/>
      <c r="BK251" s="289"/>
      <c r="BL251" s="289"/>
      <c r="BM251" s="289"/>
      <c r="BN251" s="289"/>
      <c r="BO251" s="289"/>
      <c r="BP251" s="289"/>
      <c r="BQ251" s="289"/>
      <c r="BR251" s="289"/>
      <c r="BS251" s="289"/>
      <c r="BT251" s="289"/>
      <c r="BU251" s="289"/>
      <c r="BV251" s="289"/>
    </row>
    <row r="252" spans="2:74" x14ac:dyDescent="0.2">
      <c r="B252" s="210"/>
      <c r="C252" s="203"/>
      <c r="D252" s="203"/>
      <c r="E252" s="288"/>
      <c r="F252" s="289"/>
      <c r="G252" s="289"/>
      <c r="H252" s="289"/>
      <c r="I252" s="289"/>
      <c r="J252" s="289"/>
      <c r="K252" s="289"/>
      <c r="L252" s="289"/>
      <c r="M252" s="289"/>
      <c r="N252" s="289"/>
      <c r="O252" s="289"/>
      <c r="P252" s="289"/>
      <c r="Q252" s="289"/>
      <c r="R252" s="289"/>
      <c r="S252" s="289"/>
      <c r="T252" s="289"/>
      <c r="U252" s="289"/>
      <c r="V252" s="289"/>
      <c r="W252" s="289"/>
      <c r="X252" s="289"/>
      <c r="Y252" s="289"/>
      <c r="Z252" s="289"/>
      <c r="AA252" s="289"/>
      <c r="AB252" s="289"/>
      <c r="AC252" s="289"/>
      <c r="AD252" s="289"/>
      <c r="AE252" s="289"/>
      <c r="AF252" s="289"/>
      <c r="AG252" s="289"/>
      <c r="AH252" s="289"/>
      <c r="AI252" s="289"/>
      <c r="AJ252" s="289"/>
      <c r="AK252" s="289"/>
      <c r="AL252" s="289"/>
      <c r="AM252" s="289"/>
      <c r="AN252" s="289"/>
      <c r="AO252" s="289"/>
      <c r="AP252" s="289"/>
      <c r="AQ252" s="289"/>
      <c r="AR252" s="289"/>
      <c r="AS252" s="289"/>
      <c r="AT252" s="289"/>
      <c r="AU252" s="289"/>
      <c r="AV252" s="289"/>
      <c r="AW252" s="289"/>
      <c r="AX252" s="289"/>
      <c r="AY252" s="289"/>
      <c r="AZ252" s="289"/>
      <c r="BA252" s="289"/>
      <c r="BB252" s="289"/>
      <c r="BC252" s="289"/>
      <c r="BD252" s="289"/>
      <c r="BE252" s="289"/>
      <c r="BF252" s="289"/>
      <c r="BG252" s="289"/>
      <c r="BH252" s="289"/>
      <c r="BI252" s="289"/>
      <c r="BJ252" s="289"/>
      <c r="BK252" s="289"/>
      <c r="BL252" s="289"/>
      <c r="BM252" s="289"/>
      <c r="BN252" s="289"/>
      <c r="BO252" s="289"/>
      <c r="BP252" s="289"/>
      <c r="BQ252" s="289"/>
      <c r="BR252" s="289"/>
      <c r="BS252" s="289"/>
      <c r="BT252" s="289"/>
      <c r="BU252" s="289"/>
      <c r="BV252" s="289"/>
    </row>
    <row r="253" spans="2:74" x14ac:dyDescent="0.2">
      <c r="B253" s="210"/>
      <c r="C253" s="203"/>
      <c r="D253" s="203"/>
      <c r="E253" s="288"/>
      <c r="F253" s="289"/>
      <c r="G253" s="289"/>
      <c r="H253" s="289"/>
      <c r="I253" s="289"/>
      <c r="J253" s="289"/>
      <c r="K253" s="289"/>
      <c r="L253" s="289"/>
      <c r="M253" s="289"/>
      <c r="N253" s="289"/>
      <c r="O253" s="289"/>
      <c r="P253" s="289"/>
      <c r="Q253" s="289"/>
      <c r="R253" s="289"/>
      <c r="S253" s="289"/>
      <c r="T253" s="289"/>
      <c r="U253" s="289"/>
      <c r="V253" s="289"/>
      <c r="W253" s="289"/>
      <c r="X253" s="289"/>
      <c r="Y253" s="289"/>
      <c r="Z253" s="289"/>
      <c r="AA253" s="289"/>
      <c r="AB253" s="289"/>
      <c r="AC253" s="289"/>
      <c r="AD253" s="289"/>
      <c r="AE253" s="289"/>
      <c r="AF253" s="289"/>
      <c r="AG253" s="289"/>
      <c r="AH253" s="289"/>
      <c r="AI253" s="289"/>
      <c r="AJ253" s="289"/>
      <c r="AK253" s="289"/>
      <c r="AL253" s="289"/>
      <c r="AM253" s="289"/>
      <c r="AN253" s="289"/>
      <c r="AO253" s="289"/>
      <c r="AP253" s="289"/>
      <c r="AQ253" s="289"/>
      <c r="AR253" s="289"/>
      <c r="AS253" s="289"/>
      <c r="AT253" s="289"/>
      <c r="AU253" s="289"/>
      <c r="AV253" s="289"/>
      <c r="AW253" s="289"/>
      <c r="AX253" s="289"/>
      <c r="AY253" s="289"/>
      <c r="AZ253" s="289"/>
      <c r="BA253" s="289"/>
      <c r="BB253" s="289"/>
      <c r="BC253" s="289"/>
      <c r="BD253" s="289"/>
      <c r="BE253" s="289"/>
      <c r="BF253" s="289"/>
      <c r="BG253" s="289"/>
      <c r="BH253" s="289"/>
      <c r="BI253" s="289"/>
      <c r="BJ253" s="289"/>
      <c r="BK253" s="289"/>
      <c r="BL253" s="289"/>
      <c r="BM253" s="289"/>
      <c r="BN253" s="289"/>
      <c r="BO253" s="289"/>
      <c r="BP253" s="289"/>
      <c r="BQ253" s="289"/>
      <c r="BR253" s="289"/>
      <c r="BS253" s="289"/>
      <c r="BT253" s="289"/>
      <c r="BU253" s="289"/>
      <c r="BV253" s="289"/>
    </row>
    <row r="254" spans="2:74" x14ac:dyDescent="0.2">
      <c r="B254" s="210"/>
      <c r="C254" s="203"/>
      <c r="D254" s="203"/>
      <c r="E254" s="288"/>
      <c r="F254" s="289"/>
      <c r="G254" s="289"/>
      <c r="H254" s="289"/>
      <c r="I254" s="289"/>
      <c r="J254" s="289"/>
      <c r="K254" s="289"/>
      <c r="L254" s="289"/>
      <c r="M254" s="289"/>
      <c r="N254" s="289"/>
      <c r="O254" s="289"/>
      <c r="P254" s="289"/>
      <c r="Q254" s="289"/>
      <c r="R254" s="289"/>
      <c r="S254" s="289"/>
      <c r="T254" s="289"/>
      <c r="U254" s="289"/>
      <c r="V254" s="289"/>
      <c r="W254" s="289"/>
      <c r="X254" s="289"/>
      <c r="Y254" s="289"/>
      <c r="Z254" s="289"/>
      <c r="AA254" s="289"/>
      <c r="AB254" s="289"/>
      <c r="AC254" s="289"/>
      <c r="AD254" s="289"/>
      <c r="AE254" s="289"/>
      <c r="AF254" s="289"/>
      <c r="AG254" s="289"/>
      <c r="AH254" s="289"/>
      <c r="AI254" s="289"/>
      <c r="AJ254" s="289"/>
      <c r="AK254" s="289"/>
      <c r="AL254" s="289"/>
      <c r="AM254" s="289"/>
      <c r="AN254" s="289"/>
      <c r="AO254" s="289"/>
      <c r="AP254" s="289"/>
      <c r="AQ254" s="289"/>
      <c r="AR254" s="289"/>
      <c r="AS254" s="289"/>
      <c r="AT254" s="289"/>
      <c r="AU254" s="289"/>
      <c r="AV254" s="289"/>
      <c r="AW254" s="289"/>
      <c r="AX254" s="289"/>
      <c r="AY254" s="289"/>
      <c r="AZ254" s="289"/>
      <c r="BA254" s="289"/>
      <c r="BB254" s="289"/>
      <c r="BC254" s="289"/>
      <c r="BD254" s="289"/>
      <c r="BE254" s="289"/>
      <c r="BF254" s="289"/>
      <c r="BG254" s="289"/>
      <c r="BH254" s="289"/>
      <c r="BI254" s="289"/>
      <c r="BJ254" s="289"/>
      <c r="BK254" s="289"/>
      <c r="BL254" s="289"/>
      <c r="BM254" s="289"/>
      <c r="BN254" s="289"/>
      <c r="BO254" s="289"/>
      <c r="BP254" s="289"/>
      <c r="BQ254" s="289"/>
      <c r="BR254" s="289"/>
      <c r="BS254" s="289"/>
      <c r="BT254" s="289"/>
      <c r="BU254" s="289"/>
      <c r="BV254" s="289"/>
    </row>
    <row r="255" spans="2:74" x14ac:dyDescent="0.2">
      <c r="B255" s="210"/>
      <c r="C255" s="203"/>
      <c r="D255" s="203"/>
      <c r="E255" s="288"/>
      <c r="F255" s="289"/>
      <c r="G255" s="289"/>
      <c r="H255" s="289"/>
      <c r="I255" s="289"/>
      <c r="J255" s="289"/>
      <c r="K255" s="289"/>
      <c r="L255" s="289"/>
      <c r="M255" s="289"/>
      <c r="N255" s="289"/>
      <c r="O255" s="289"/>
      <c r="P255" s="289"/>
      <c r="Q255" s="289"/>
      <c r="R255" s="289"/>
      <c r="S255" s="289"/>
      <c r="T255" s="289"/>
      <c r="U255" s="289"/>
      <c r="V255" s="289"/>
      <c r="W255" s="289"/>
      <c r="X255" s="289"/>
      <c r="Y255" s="289"/>
      <c r="Z255" s="289"/>
      <c r="AA255" s="289"/>
      <c r="AB255" s="289"/>
      <c r="AC255" s="289"/>
      <c r="AD255" s="289"/>
      <c r="AE255" s="289"/>
      <c r="AF255" s="289"/>
      <c r="AG255" s="289"/>
      <c r="AH255" s="289"/>
      <c r="AI255" s="289"/>
      <c r="AJ255" s="289"/>
      <c r="AK255" s="289"/>
      <c r="AL255" s="289"/>
      <c r="AM255" s="289"/>
      <c r="AN255" s="289"/>
      <c r="AO255" s="289"/>
      <c r="AP255" s="289"/>
      <c r="AQ255" s="289"/>
      <c r="AR255" s="289"/>
      <c r="AS255" s="289"/>
      <c r="AT255" s="289"/>
      <c r="AU255" s="289"/>
      <c r="AV255" s="289"/>
      <c r="AW255" s="289"/>
      <c r="AX255" s="289"/>
      <c r="AY255" s="289"/>
      <c r="AZ255" s="289"/>
      <c r="BA255" s="289"/>
      <c r="BB255" s="289"/>
      <c r="BC255" s="289"/>
      <c r="BD255" s="289"/>
      <c r="BE255" s="289"/>
      <c r="BF255" s="289"/>
      <c r="BG255" s="289"/>
      <c r="BH255" s="289"/>
      <c r="BI255" s="289"/>
      <c r="BJ255" s="289"/>
      <c r="BK255" s="289"/>
      <c r="BL255" s="289"/>
      <c r="BM255" s="289"/>
      <c r="BN255" s="289"/>
      <c r="BO255" s="289"/>
      <c r="BP255" s="289"/>
      <c r="BQ255" s="289"/>
      <c r="BR255" s="289"/>
      <c r="BS255" s="289"/>
      <c r="BT255" s="289"/>
      <c r="BU255" s="289"/>
      <c r="BV255" s="289"/>
    </row>
    <row r="256" spans="2:74" x14ac:dyDescent="0.2">
      <c r="B256" s="210"/>
      <c r="C256" s="203"/>
      <c r="D256" s="203"/>
      <c r="E256" s="288"/>
      <c r="F256" s="289"/>
      <c r="G256" s="289"/>
      <c r="H256" s="289"/>
      <c r="I256" s="289"/>
      <c r="J256" s="289"/>
      <c r="K256" s="289"/>
      <c r="L256" s="289"/>
      <c r="M256" s="289"/>
      <c r="N256" s="289"/>
      <c r="O256" s="289"/>
      <c r="P256" s="289"/>
      <c r="Q256" s="289"/>
      <c r="R256" s="289"/>
      <c r="S256" s="289"/>
      <c r="T256" s="289"/>
      <c r="U256" s="289"/>
      <c r="V256" s="289"/>
      <c r="W256" s="289"/>
      <c r="X256" s="289"/>
      <c r="Y256" s="289"/>
      <c r="Z256" s="289"/>
      <c r="AA256" s="289"/>
      <c r="AB256" s="289"/>
      <c r="AC256" s="289"/>
      <c r="AD256" s="289"/>
      <c r="AE256" s="289"/>
      <c r="AF256" s="289"/>
      <c r="AG256" s="289"/>
      <c r="AH256" s="289"/>
      <c r="AI256" s="289"/>
      <c r="AJ256" s="289"/>
      <c r="AK256" s="289"/>
      <c r="AL256" s="289"/>
      <c r="AM256" s="289"/>
      <c r="AN256" s="289"/>
      <c r="AO256" s="289"/>
      <c r="AP256" s="289"/>
      <c r="AQ256" s="289"/>
      <c r="AR256" s="289"/>
      <c r="AS256" s="289"/>
      <c r="AT256" s="289"/>
      <c r="AU256" s="289"/>
      <c r="AV256" s="289"/>
      <c r="AW256" s="289"/>
      <c r="AX256" s="289"/>
      <c r="AY256" s="289"/>
      <c r="AZ256" s="289"/>
      <c r="BA256" s="289"/>
      <c r="BB256" s="289"/>
      <c r="BC256" s="289"/>
      <c r="BD256" s="289"/>
      <c r="BE256" s="289"/>
      <c r="BF256" s="289"/>
      <c r="BG256" s="289"/>
      <c r="BH256" s="289"/>
      <c r="BI256" s="289"/>
      <c r="BJ256" s="289"/>
      <c r="BK256" s="289"/>
      <c r="BL256" s="289"/>
      <c r="BM256" s="289"/>
      <c r="BN256" s="289"/>
      <c r="BO256" s="289"/>
      <c r="BP256" s="289"/>
      <c r="BQ256" s="289"/>
      <c r="BR256" s="289"/>
      <c r="BS256" s="289"/>
      <c r="BT256" s="289"/>
      <c r="BU256" s="289"/>
      <c r="BV256" s="289"/>
    </row>
    <row r="257" spans="2:74" x14ac:dyDescent="0.2">
      <c r="B257" s="210"/>
      <c r="C257" s="203"/>
      <c r="D257" s="203"/>
      <c r="E257" s="288"/>
      <c r="F257" s="289"/>
      <c r="G257" s="289"/>
      <c r="H257" s="289"/>
      <c r="I257" s="289"/>
      <c r="J257" s="289"/>
      <c r="K257" s="289"/>
      <c r="L257" s="289"/>
      <c r="M257" s="289"/>
      <c r="N257" s="289"/>
      <c r="O257" s="289"/>
      <c r="P257" s="289"/>
      <c r="Q257" s="289"/>
      <c r="R257" s="289"/>
      <c r="S257" s="289"/>
      <c r="T257" s="289"/>
      <c r="U257" s="289"/>
      <c r="V257" s="289"/>
      <c r="W257" s="289"/>
      <c r="X257" s="289"/>
      <c r="Y257" s="289"/>
      <c r="Z257" s="289"/>
      <c r="AA257" s="289"/>
      <c r="AB257" s="289"/>
      <c r="AC257" s="289"/>
      <c r="AD257" s="289"/>
      <c r="AE257" s="289"/>
      <c r="AF257" s="289"/>
      <c r="AG257" s="289"/>
      <c r="AH257" s="289"/>
      <c r="AI257" s="289"/>
      <c r="AJ257" s="289"/>
      <c r="AK257" s="289"/>
      <c r="AL257" s="289"/>
      <c r="AM257" s="289"/>
      <c r="AN257" s="289"/>
      <c r="AO257" s="289"/>
      <c r="AP257" s="289"/>
      <c r="AQ257" s="289"/>
      <c r="AR257" s="289"/>
      <c r="AS257" s="289"/>
      <c r="AT257" s="289"/>
      <c r="AU257" s="289"/>
      <c r="AV257" s="289"/>
      <c r="AW257" s="289"/>
      <c r="AX257" s="289"/>
      <c r="AY257" s="289"/>
      <c r="AZ257" s="289"/>
      <c r="BA257" s="289"/>
      <c r="BB257" s="289"/>
      <c r="BC257" s="289"/>
      <c r="BD257" s="289"/>
      <c r="BE257" s="289"/>
      <c r="BF257" s="289"/>
      <c r="BG257" s="289"/>
      <c r="BH257" s="289"/>
      <c r="BI257" s="289"/>
      <c r="BJ257" s="289"/>
      <c r="BK257" s="289"/>
      <c r="BL257" s="289"/>
      <c r="BM257" s="289"/>
      <c r="BN257" s="289"/>
      <c r="BO257" s="289"/>
      <c r="BP257" s="289"/>
      <c r="BQ257" s="289"/>
      <c r="BR257" s="289"/>
      <c r="BS257" s="289"/>
      <c r="BT257" s="289"/>
      <c r="BU257" s="289"/>
      <c r="BV257" s="289"/>
    </row>
    <row r="258" spans="2:74" x14ac:dyDescent="0.2">
      <c r="B258" s="210"/>
      <c r="C258" s="203"/>
      <c r="D258" s="203"/>
      <c r="E258" s="288"/>
      <c r="F258" s="289"/>
      <c r="G258" s="289"/>
      <c r="H258" s="289"/>
      <c r="I258" s="289"/>
      <c r="J258" s="289"/>
      <c r="K258" s="289"/>
      <c r="L258" s="289"/>
      <c r="M258" s="289"/>
      <c r="N258" s="289"/>
      <c r="O258" s="289"/>
      <c r="P258" s="289"/>
      <c r="Q258" s="289"/>
      <c r="R258" s="289"/>
      <c r="S258" s="289"/>
      <c r="T258" s="289"/>
      <c r="U258" s="289"/>
      <c r="V258" s="289"/>
      <c r="W258" s="289"/>
      <c r="X258" s="289"/>
      <c r="Y258" s="289"/>
      <c r="Z258" s="289"/>
      <c r="AA258" s="289"/>
      <c r="AB258" s="289"/>
      <c r="AC258" s="289"/>
      <c r="AD258" s="289"/>
      <c r="AE258" s="289"/>
      <c r="AF258" s="289"/>
      <c r="AG258" s="289"/>
      <c r="AH258" s="289"/>
      <c r="AI258" s="289"/>
      <c r="AJ258" s="289"/>
      <c r="AK258" s="289"/>
      <c r="AL258" s="289"/>
      <c r="AM258" s="289"/>
      <c r="AN258" s="289"/>
      <c r="AO258" s="289"/>
      <c r="AP258" s="289"/>
      <c r="AQ258" s="289"/>
      <c r="AR258" s="289"/>
      <c r="AS258" s="289"/>
      <c r="AT258" s="289"/>
      <c r="AU258" s="289"/>
      <c r="AV258" s="289"/>
      <c r="AW258" s="289"/>
      <c r="AX258" s="289"/>
      <c r="AY258" s="289"/>
      <c r="AZ258" s="289"/>
      <c r="BA258" s="289"/>
      <c r="BB258" s="289"/>
      <c r="BC258" s="289"/>
      <c r="BD258" s="289"/>
      <c r="BE258" s="289"/>
      <c r="BF258" s="289"/>
      <c r="BG258" s="289"/>
      <c r="BH258" s="289"/>
      <c r="BI258" s="289"/>
      <c r="BJ258" s="289"/>
      <c r="BK258" s="289"/>
      <c r="BL258" s="289"/>
      <c r="BM258" s="289"/>
      <c r="BN258" s="289"/>
      <c r="BO258" s="289"/>
      <c r="BP258" s="289"/>
      <c r="BQ258" s="289"/>
      <c r="BR258" s="289"/>
      <c r="BS258" s="289"/>
      <c r="BT258" s="289"/>
      <c r="BU258" s="289"/>
      <c r="BV258" s="289"/>
    </row>
    <row r="259" spans="2:74" x14ac:dyDescent="0.2">
      <c r="B259" s="210"/>
      <c r="C259" s="203"/>
      <c r="D259" s="203"/>
      <c r="E259" s="288"/>
      <c r="F259" s="289"/>
      <c r="G259" s="289"/>
      <c r="H259" s="289"/>
      <c r="I259" s="289"/>
      <c r="J259" s="289"/>
      <c r="K259" s="289"/>
      <c r="L259" s="289"/>
      <c r="M259" s="289"/>
      <c r="N259" s="289"/>
      <c r="O259" s="289"/>
      <c r="P259" s="289"/>
      <c r="Q259" s="289"/>
      <c r="R259" s="289"/>
      <c r="S259" s="289"/>
      <c r="T259" s="289"/>
      <c r="U259" s="289"/>
      <c r="V259" s="289"/>
      <c r="W259" s="289"/>
      <c r="X259" s="289"/>
      <c r="Y259" s="289"/>
      <c r="Z259" s="289"/>
      <c r="AA259" s="289"/>
      <c r="AB259" s="289"/>
      <c r="AC259" s="289"/>
      <c r="AD259" s="289"/>
      <c r="AE259" s="289"/>
      <c r="AF259" s="289"/>
      <c r="AG259" s="289"/>
      <c r="AH259" s="289"/>
      <c r="AI259" s="289"/>
      <c r="AJ259" s="289"/>
      <c r="AK259" s="289"/>
      <c r="AL259" s="289"/>
      <c r="AM259" s="289"/>
      <c r="AN259" s="289"/>
      <c r="AO259" s="289"/>
      <c r="AP259" s="289"/>
      <c r="AQ259" s="289"/>
      <c r="AR259" s="289"/>
      <c r="AS259" s="289"/>
      <c r="AT259" s="289"/>
      <c r="AU259" s="289"/>
      <c r="AV259" s="289"/>
      <c r="AW259" s="289"/>
      <c r="AX259" s="289"/>
      <c r="AY259" s="289"/>
      <c r="AZ259" s="289"/>
      <c r="BA259" s="289"/>
      <c r="BB259" s="289"/>
      <c r="BC259" s="289"/>
      <c r="BD259" s="289"/>
      <c r="BE259" s="289"/>
      <c r="BF259" s="289"/>
      <c r="BG259" s="289"/>
      <c r="BH259" s="289"/>
      <c r="BI259" s="289"/>
      <c r="BJ259" s="289"/>
      <c r="BK259" s="289"/>
      <c r="BL259" s="289"/>
      <c r="BM259" s="289"/>
      <c r="BN259" s="289"/>
      <c r="BO259" s="289"/>
      <c r="BP259" s="289"/>
      <c r="BQ259" s="289"/>
      <c r="BR259" s="289"/>
      <c r="BS259" s="289"/>
      <c r="BT259" s="289"/>
      <c r="BU259" s="289"/>
      <c r="BV259" s="289"/>
    </row>
    <row r="260" spans="2:74" x14ac:dyDescent="0.2">
      <c r="B260" s="210"/>
      <c r="C260" s="203"/>
      <c r="D260" s="203"/>
      <c r="E260" s="288"/>
      <c r="F260" s="289"/>
      <c r="G260" s="289"/>
      <c r="H260" s="289"/>
      <c r="I260" s="289"/>
      <c r="J260" s="289"/>
      <c r="K260" s="289"/>
      <c r="L260" s="289"/>
      <c r="M260" s="289"/>
      <c r="N260" s="289"/>
      <c r="O260" s="289"/>
      <c r="P260" s="289"/>
      <c r="Q260" s="289"/>
      <c r="R260" s="289"/>
      <c r="S260" s="289"/>
      <c r="T260" s="289"/>
      <c r="U260" s="289"/>
      <c r="V260" s="289"/>
      <c r="W260" s="289"/>
      <c r="X260" s="289"/>
      <c r="Y260" s="289"/>
      <c r="Z260" s="289"/>
      <c r="AA260" s="289"/>
      <c r="AB260" s="289"/>
      <c r="AC260" s="289"/>
      <c r="AD260" s="289"/>
      <c r="AE260" s="289"/>
      <c r="AF260" s="289"/>
      <c r="AG260" s="289"/>
      <c r="AH260" s="289"/>
      <c r="AI260" s="289"/>
      <c r="AJ260" s="289"/>
      <c r="AK260" s="289"/>
      <c r="AL260" s="289"/>
      <c r="AM260" s="289"/>
      <c r="AN260" s="289"/>
      <c r="AO260" s="289"/>
      <c r="AP260" s="289"/>
      <c r="AQ260" s="289"/>
      <c r="AR260" s="289"/>
      <c r="AS260" s="289"/>
      <c r="AT260" s="289"/>
      <c r="AU260" s="289"/>
      <c r="AV260" s="289"/>
      <c r="AW260" s="289"/>
      <c r="AX260" s="289"/>
      <c r="AY260" s="289"/>
      <c r="AZ260" s="289"/>
      <c r="BA260" s="289"/>
      <c r="BB260" s="289"/>
      <c r="BC260" s="289"/>
      <c r="BD260" s="289"/>
      <c r="BE260" s="289"/>
      <c r="BF260" s="289"/>
      <c r="BG260" s="289"/>
      <c r="BH260" s="289"/>
      <c r="BI260" s="289"/>
      <c r="BJ260" s="289"/>
      <c r="BK260" s="289"/>
      <c r="BL260" s="289"/>
      <c r="BM260" s="289"/>
      <c r="BN260" s="289"/>
      <c r="BO260" s="289"/>
      <c r="BP260" s="289"/>
      <c r="BQ260" s="289"/>
      <c r="BR260" s="289"/>
      <c r="BS260" s="289"/>
      <c r="BT260" s="289"/>
      <c r="BU260" s="289"/>
      <c r="BV260" s="289"/>
    </row>
    <row r="261" spans="2:74" x14ac:dyDescent="0.2">
      <c r="B261" s="210"/>
      <c r="C261" s="210"/>
      <c r="D261" s="210"/>
      <c r="E261" s="288"/>
      <c r="F261" s="289"/>
      <c r="G261" s="289"/>
      <c r="H261" s="289"/>
      <c r="I261" s="289"/>
      <c r="J261" s="289"/>
      <c r="K261" s="289"/>
      <c r="L261" s="289"/>
      <c r="M261" s="289"/>
      <c r="N261" s="289"/>
      <c r="O261" s="289"/>
      <c r="P261" s="289"/>
      <c r="Q261" s="289"/>
      <c r="R261" s="289"/>
      <c r="S261" s="289"/>
      <c r="T261" s="289"/>
      <c r="U261" s="289"/>
      <c r="V261" s="289"/>
      <c r="W261" s="289"/>
      <c r="X261" s="289"/>
      <c r="Y261" s="289"/>
      <c r="Z261" s="289"/>
      <c r="AA261" s="289"/>
      <c r="AB261" s="289"/>
      <c r="AC261" s="289"/>
      <c r="AD261" s="289"/>
      <c r="AE261" s="289"/>
      <c r="AF261" s="289"/>
      <c r="AG261" s="289"/>
      <c r="AH261" s="289"/>
      <c r="AI261" s="289"/>
      <c r="AJ261" s="289"/>
      <c r="AK261" s="289"/>
      <c r="AL261" s="289"/>
      <c r="AM261" s="289"/>
      <c r="AN261" s="289"/>
      <c r="AO261" s="289"/>
      <c r="AP261" s="289"/>
      <c r="AQ261" s="289"/>
      <c r="AR261" s="289"/>
      <c r="AS261" s="289"/>
      <c r="AT261" s="289"/>
      <c r="AU261" s="289"/>
      <c r="AV261" s="289"/>
      <c r="AW261" s="289"/>
      <c r="AX261" s="289"/>
      <c r="AY261" s="289"/>
      <c r="AZ261" s="289"/>
      <c r="BA261" s="289"/>
      <c r="BB261" s="289"/>
      <c r="BC261" s="289"/>
      <c r="BD261" s="289"/>
      <c r="BE261" s="289"/>
      <c r="BF261" s="289"/>
      <c r="BG261" s="289"/>
      <c r="BH261" s="289"/>
      <c r="BI261" s="289"/>
      <c r="BJ261" s="289"/>
      <c r="BK261" s="289"/>
      <c r="BL261" s="289"/>
      <c r="BM261" s="289"/>
      <c r="BN261" s="289"/>
      <c r="BO261" s="289"/>
      <c r="BP261" s="289"/>
      <c r="BQ261" s="289"/>
      <c r="BR261" s="289"/>
      <c r="BS261" s="289"/>
      <c r="BT261" s="289"/>
      <c r="BU261" s="289"/>
      <c r="BV261" s="289"/>
    </row>
    <row r="262" spans="2:74" x14ac:dyDescent="0.2">
      <c r="B262" s="210"/>
      <c r="C262" s="203"/>
      <c r="D262" s="203"/>
      <c r="E262" s="288"/>
      <c r="F262" s="289"/>
      <c r="G262" s="289"/>
      <c r="H262" s="289"/>
      <c r="I262" s="289"/>
      <c r="J262" s="289"/>
      <c r="K262" s="289"/>
      <c r="L262" s="289"/>
      <c r="M262" s="289"/>
      <c r="N262" s="289"/>
      <c r="O262" s="289"/>
      <c r="P262" s="289"/>
      <c r="Q262" s="289"/>
      <c r="R262" s="289"/>
      <c r="S262" s="289"/>
      <c r="T262" s="289"/>
      <c r="U262" s="289"/>
      <c r="V262" s="289"/>
      <c r="W262" s="289"/>
      <c r="X262" s="289"/>
      <c r="Y262" s="289"/>
      <c r="Z262" s="289"/>
      <c r="AA262" s="289"/>
      <c r="AB262" s="289"/>
      <c r="AC262" s="289"/>
      <c r="AD262" s="289"/>
      <c r="AE262" s="289"/>
      <c r="AF262" s="289"/>
      <c r="AG262" s="289"/>
      <c r="AH262" s="289"/>
      <c r="AI262" s="289"/>
      <c r="AJ262" s="289"/>
      <c r="AK262" s="289"/>
      <c r="AL262" s="289"/>
      <c r="AM262" s="289"/>
      <c r="AN262" s="289"/>
      <c r="AO262" s="289"/>
      <c r="AP262" s="289"/>
      <c r="AQ262" s="289"/>
      <c r="AR262" s="289"/>
      <c r="AS262" s="289"/>
      <c r="AT262" s="289"/>
      <c r="AU262" s="289"/>
      <c r="AV262" s="289"/>
      <c r="AW262" s="289"/>
      <c r="AX262" s="289"/>
      <c r="AY262" s="289"/>
      <c r="AZ262" s="289"/>
      <c r="BA262" s="289"/>
      <c r="BB262" s="289"/>
      <c r="BC262" s="289"/>
      <c r="BD262" s="289"/>
      <c r="BE262" s="289"/>
      <c r="BF262" s="289"/>
      <c r="BG262" s="289"/>
      <c r="BH262" s="289"/>
      <c r="BI262" s="289"/>
      <c r="BJ262" s="289"/>
      <c r="BK262" s="289"/>
      <c r="BL262" s="289"/>
      <c r="BM262" s="289"/>
      <c r="BN262" s="289"/>
      <c r="BO262" s="289"/>
      <c r="BP262" s="289"/>
      <c r="BQ262" s="289"/>
      <c r="BR262" s="289"/>
      <c r="BS262" s="289"/>
      <c r="BT262" s="289"/>
      <c r="BU262" s="289"/>
      <c r="BV262" s="289"/>
    </row>
    <row r="263" spans="2:74" x14ac:dyDescent="0.2">
      <c r="C263" s="203"/>
      <c r="D263" s="203"/>
      <c r="E263" s="288"/>
      <c r="F263" s="289"/>
      <c r="G263" s="289"/>
      <c r="H263" s="289"/>
      <c r="I263" s="289"/>
      <c r="J263" s="289"/>
      <c r="K263" s="289"/>
      <c r="L263" s="289"/>
      <c r="M263" s="289"/>
      <c r="N263" s="289"/>
      <c r="O263" s="289"/>
      <c r="P263" s="289"/>
      <c r="Q263" s="289"/>
      <c r="R263" s="289"/>
      <c r="S263" s="289"/>
      <c r="T263" s="289"/>
      <c r="U263" s="289"/>
      <c r="V263" s="289"/>
      <c r="W263" s="289"/>
      <c r="X263" s="289"/>
      <c r="Y263" s="289"/>
      <c r="Z263" s="289"/>
      <c r="AA263" s="289"/>
      <c r="AB263" s="289"/>
      <c r="AC263" s="289"/>
      <c r="AD263" s="289"/>
      <c r="AE263" s="289"/>
      <c r="AF263" s="289"/>
      <c r="AG263" s="289"/>
      <c r="AH263" s="289"/>
      <c r="AI263" s="289"/>
      <c r="AJ263" s="289"/>
      <c r="AK263" s="289"/>
      <c r="AL263" s="289"/>
      <c r="AM263" s="289"/>
      <c r="AN263" s="289"/>
      <c r="AO263" s="289"/>
      <c r="AP263" s="289"/>
      <c r="AQ263" s="289"/>
      <c r="AR263" s="289"/>
      <c r="AS263" s="289"/>
      <c r="AT263" s="289"/>
      <c r="AU263" s="289"/>
      <c r="AV263" s="289"/>
      <c r="AW263" s="289"/>
      <c r="AX263" s="289"/>
      <c r="AY263" s="289"/>
      <c r="AZ263" s="289"/>
      <c r="BA263" s="289"/>
      <c r="BB263" s="289"/>
      <c r="BC263" s="289"/>
      <c r="BD263" s="289"/>
      <c r="BE263" s="289"/>
      <c r="BF263" s="289"/>
      <c r="BG263" s="289"/>
      <c r="BH263" s="289"/>
      <c r="BI263" s="289"/>
      <c r="BJ263" s="289"/>
      <c r="BK263" s="289"/>
      <c r="BL263" s="289"/>
      <c r="BM263" s="289"/>
      <c r="BN263" s="289"/>
      <c r="BO263" s="289"/>
      <c r="BP263" s="289"/>
      <c r="BQ263" s="289"/>
      <c r="BR263" s="289"/>
      <c r="BS263" s="289"/>
      <c r="BT263" s="289"/>
      <c r="BU263" s="289"/>
      <c r="BV263" s="289"/>
    </row>
    <row r="264" spans="2:74" x14ac:dyDescent="0.2">
      <c r="B264" s="210"/>
      <c r="C264" s="203"/>
      <c r="D264" s="203"/>
      <c r="E264" s="288"/>
      <c r="F264" s="289"/>
      <c r="G264" s="289"/>
      <c r="H264" s="289"/>
      <c r="I264" s="289"/>
      <c r="J264" s="289"/>
      <c r="K264" s="289"/>
      <c r="L264" s="289"/>
      <c r="M264" s="289"/>
      <c r="N264" s="289"/>
      <c r="O264" s="289"/>
      <c r="P264" s="289"/>
      <c r="Q264" s="289"/>
      <c r="R264" s="289"/>
      <c r="S264" s="289"/>
      <c r="T264" s="289"/>
      <c r="U264" s="289"/>
      <c r="V264" s="289"/>
      <c r="W264" s="289"/>
      <c r="X264" s="289"/>
      <c r="Y264" s="289"/>
      <c r="Z264" s="289"/>
      <c r="AA264" s="289"/>
      <c r="AB264" s="289"/>
      <c r="AC264" s="289"/>
      <c r="AD264" s="289"/>
      <c r="AE264" s="289"/>
      <c r="AF264" s="289"/>
      <c r="AG264" s="289"/>
      <c r="AH264" s="289"/>
      <c r="AI264" s="289"/>
      <c r="AJ264" s="289"/>
      <c r="AK264" s="289"/>
      <c r="AL264" s="289"/>
      <c r="AM264" s="289"/>
      <c r="AN264" s="289"/>
      <c r="AO264" s="289"/>
      <c r="AP264" s="289"/>
      <c r="AQ264" s="289"/>
      <c r="AR264" s="289"/>
      <c r="AS264" s="289"/>
      <c r="AT264" s="289"/>
      <c r="AU264" s="289"/>
      <c r="AV264" s="289"/>
      <c r="AW264" s="289"/>
      <c r="AX264" s="289"/>
      <c r="AY264" s="289"/>
      <c r="AZ264" s="289"/>
      <c r="BA264" s="289"/>
      <c r="BB264" s="289"/>
      <c r="BC264" s="289"/>
      <c r="BD264" s="289"/>
      <c r="BE264" s="289"/>
      <c r="BF264" s="289"/>
      <c r="BG264" s="289"/>
      <c r="BH264" s="289"/>
      <c r="BI264" s="289"/>
      <c r="BJ264" s="289"/>
      <c r="BK264" s="289"/>
      <c r="BL264" s="289"/>
      <c r="BM264" s="289"/>
      <c r="BN264" s="289"/>
      <c r="BO264" s="289"/>
      <c r="BP264" s="289"/>
      <c r="BQ264" s="289"/>
      <c r="BR264" s="289"/>
      <c r="BS264" s="289"/>
      <c r="BT264" s="289"/>
      <c r="BU264" s="289"/>
      <c r="BV264" s="289"/>
    </row>
    <row r="265" spans="2:74" x14ac:dyDescent="0.2">
      <c r="B265" s="210"/>
      <c r="C265" s="203"/>
      <c r="D265" s="203"/>
      <c r="E265" s="288"/>
      <c r="F265" s="289"/>
      <c r="G265" s="289"/>
      <c r="H265" s="289"/>
      <c r="I265" s="289"/>
      <c r="J265" s="289"/>
      <c r="K265" s="289"/>
      <c r="L265" s="289"/>
      <c r="M265" s="289"/>
      <c r="N265" s="289"/>
      <c r="O265" s="289"/>
      <c r="P265" s="289"/>
      <c r="Q265" s="289"/>
      <c r="R265" s="289"/>
      <c r="S265" s="289"/>
      <c r="T265" s="289"/>
      <c r="U265" s="289"/>
      <c r="V265" s="289"/>
      <c r="W265" s="289"/>
      <c r="X265" s="289"/>
      <c r="Y265" s="289"/>
      <c r="Z265" s="289"/>
      <c r="AA265" s="289"/>
      <c r="AB265" s="289"/>
      <c r="AC265" s="289"/>
      <c r="AD265" s="289"/>
      <c r="AE265" s="289"/>
      <c r="AF265" s="289"/>
      <c r="AG265" s="289"/>
      <c r="AH265" s="289"/>
      <c r="AI265" s="289"/>
      <c r="AJ265" s="289"/>
      <c r="AK265" s="289"/>
      <c r="AL265" s="289"/>
      <c r="AM265" s="289"/>
      <c r="AN265" s="289"/>
      <c r="AO265" s="289"/>
      <c r="AP265" s="289"/>
      <c r="AQ265" s="289"/>
      <c r="AR265" s="289"/>
      <c r="AS265" s="289"/>
      <c r="AT265" s="289"/>
      <c r="AU265" s="289"/>
      <c r="AV265" s="289"/>
      <c r="AW265" s="289"/>
      <c r="AX265" s="289"/>
      <c r="AY265" s="289"/>
      <c r="AZ265" s="289"/>
      <c r="BA265" s="289"/>
      <c r="BB265" s="289"/>
      <c r="BC265" s="289"/>
      <c r="BD265" s="289"/>
      <c r="BE265" s="289"/>
      <c r="BF265" s="289"/>
      <c r="BG265" s="289"/>
      <c r="BH265" s="289"/>
      <c r="BI265" s="289"/>
      <c r="BJ265" s="289"/>
      <c r="BK265" s="289"/>
      <c r="BL265" s="289"/>
      <c r="BM265" s="289"/>
      <c r="BN265" s="289"/>
      <c r="BO265" s="289"/>
      <c r="BP265" s="289"/>
      <c r="BQ265" s="289"/>
      <c r="BR265" s="289"/>
      <c r="BS265" s="289"/>
      <c r="BT265" s="289"/>
      <c r="BU265" s="289"/>
      <c r="BV265" s="289"/>
    </row>
    <row r="266" spans="2:74" x14ac:dyDescent="0.2">
      <c r="B266" s="210"/>
      <c r="C266" s="203"/>
      <c r="D266" s="203"/>
      <c r="E266" s="288"/>
      <c r="F266" s="289"/>
      <c r="G266" s="289"/>
      <c r="H266" s="289"/>
      <c r="I266" s="289"/>
      <c r="J266" s="289"/>
      <c r="K266" s="289"/>
      <c r="L266" s="289"/>
      <c r="M266" s="289"/>
      <c r="N266" s="289"/>
      <c r="O266" s="289"/>
      <c r="P266" s="289"/>
      <c r="Q266" s="289"/>
      <c r="R266" s="289"/>
      <c r="S266" s="289"/>
      <c r="T266" s="289"/>
      <c r="U266" s="289"/>
      <c r="V266" s="289"/>
      <c r="W266" s="289"/>
      <c r="X266" s="289"/>
      <c r="Y266" s="289"/>
      <c r="Z266" s="289"/>
      <c r="AA266" s="289"/>
      <c r="AB266" s="289"/>
      <c r="AC266" s="289"/>
      <c r="AD266" s="289"/>
      <c r="AE266" s="289"/>
      <c r="AF266" s="289"/>
      <c r="AG266" s="289"/>
      <c r="AH266" s="289"/>
      <c r="AI266" s="289"/>
      <c r="AJ266" s="289"/>
      <c r="AK266" s="289"/>
      <c r="AL266" s="289"/>
      <c r="AM266" s="289"/>
      <c r="AN266" s="289"/>
      <c r="AO266" s="289"/>
      <c r="AP266" s="289"/>
      <c r="AQ266" s="289"/>
      <c r="AR266" s="289"/>
      <c r="AS266" s="289"/>
      <c r="AT266" s="289"/>
      <c r="AU266" s="289"/>
      <c r="AV266" s="289"/>
      <c r="AW266" s="289"/>
      <c r="AX266" s="289"/>
      <c r="AY266" s="289"/>
      <c r="AZ266" s="289"/>
      <c r="BA266" s="289"/>
      <c r="BB266" s="289"/>
      <c r="BC266" s="289"/>
      <c r="BD266" s="289"/>
      <c r="BE266" s="289"/>
      <c r="BF266" s="289"/>
      <c r="BG266" s="289"/>
      <c r="BH266" s="289"/>
      <c r="BI266" s="289"/>
      <c r="BJ266" s="289"/>
      <c r="BK266" s="289"/>
      <c r="BL266" s="289"/>
      <c r="BM266" s="289"/>
      <c r="BN266" s="289"/>
      <c r="BO266" s="289"/>
      <c r="BP266" s="289"/>
      <c r="BQ266" s="289"/>
      <c r="BR266" s="289"/>
      <c r="BS266" s="289"/>
      <c r="BT266" s="289"/>
      <c r="BU266" s="289"/>
      <c r="BV266" s="289"/>
    </row>
    <row r="267" spans="2:74" x14ac:dyDescent="0.2">
      <c r="B267" s="210"/>
      <c r="C267" s="203"/>
      <c r="D267" s="203"/>
      <c r="E267" s="288"/>
      <c r="F267" s="289"/>
      <c r="G267" s="289"/>
      <c r="H267" s="289"/>
      <c r="I267" s="289"/>
      <c r="J267" s="289"/>
      <c r="K267" s="289"/>
      <c r="L267" s="289"/>
      <c r="M267" s="289"/>
      <c r="N267" s="289"/>
      <c r="O267" s="289"/>
      <c r="P267" s="289"/>
      <c r="Q267" s="289"/>
      <c r="R267" s="289"/>
      <c r="S267" s="289"/>
      <c r="T267" s="289"/>
      <c r="U267" s="289"/>
      <c r="V267" s="289"/>
      <c r="W267" s="289"/>
      <c r="X267" s="289"/>
      <c r="Y267" s="289"/>
      <c r="Z267" s="289"/>
      <c r="AA267" s="289"/>
      <c r="AB267" s="289"/>
      <c r="AC267" s="289"/>
      <c r="AD267" s="289"/>
      <c r="AE267" s="289"/>
      <c r="AF267" s="289"/>
      <c r="AG267" s="289"/>
      <c r="AH267" s="289"/>
      <c r="AI267" s="289"/>
      <c r="AJ267" s="289"/>
      <c r="AK267" s="289"/>
      <c r="AL267" s="289"/>
      <c r="AM267" s="289"/>
      <c r="AN267" s="289"/>
      <c r="AO267" s="289"/>
      <c r="AP267" s="289"/>
      <c r="AQ267" s="289"/>
      <c r="AR267" s="289"/>
      <c r="AS267" s="289"/>
      <c r="AT267" s="289"/>
      <c r="AU267" s="289"/>
      <c r="AV267" s="289"/>
      <c r="AW267" s="289"/>
      <c r="AX267" s="289"/>
      <c r="AY267" s="289"/>
      <c r="AZ267" s="289"/>
      <c r="BA267" s="289"/>
      <c r="BB267" s="289"/>
      <c r="BC267" s="289"/>
      <c r="BD267" s="289"/>
      <c r="BE267" s="289"/>
      <c r="BF267" s="289"/>
      <c r="BG267" s="289"/>
      <c r="BH267" s="289"/>
      <c r="BI267" s="289"/>
      <c r="BJ267" s="289"/>
      <c r="BK267" s="289"/>
      <c r="BL267" s="289"/>
      <c r="BM267" s="289"/>
      <c r="BN267" s="289"/>
      <c r="BO267" s="289"/>
      <c r="BP267" s="289"/>
      <c r="BQ267" s="289"/>
      <c r="BR267" s="289"/>
      <c r="BS267" s="289"/>
      <c r="BT267" s="289"/>
      <c r="BU267" s="289"/>
      <c r="BV267" s="289"/>
    </row>
    <row r="268" spans="2:74" x14ac:dyDescent="0.2">
      <c r="B268" s="210"/>
      <c r="C268" s="203"/>
      <c r="D268" s="203"/>
      <c r="E268" s="288"/>
      <c r="F268" s="289"/>
      <c r="G268" s="289"/>
      <c r="H268" s="289"/>
      <c r="I268" s="289"/>
      <c r="J268" s="289"/>
      <c r="K268" s="289"/>
      <c r="L268" s="289"/>
      <c r="M268" s="289"/>
      <c r="N268" s="289"/>
      <c r="O268" s="289"/>
      <c r="P268" s="289"/>
      <c r="Q268" s="289"/>
      <c r="R268" s="289"/>
      <c r="S268" s="289"/>
      <c r="T268" s="289"/>
      <c r="U268" s="289"/>
      <c r="V268" s="289"/>
      <c r="W268" s="289"/>
      <c r="X268" s="289"/>
      <c r="Y268" s="289"/>
      <c r="Z268" s="289"/>
      <c r="AA268" s="289"/>
      <c r="AB268" s="289"/>
      <c r="AC268" s="289"/>
      <c r="AD268" s="289"/>
      <c r="AE268" s="289"/>
      <c r="AF268" s="289"/>
      <c r="AG268" s="289"/>
      <c r="AH268" s="289"/>
      <c r="AI268" s="289"/>
      <c r="AJ268" s="289"/>
      <c r="AK268" s="289"/>
      <c r="AL268" s="289"/>
      <c r="AM268" s="289"/>
      <c r="AN268" s="289"/>
      <c r="AO268" s="289"/>
      <c r="AP268" s="289"/>
      <c r="AQ268" s="289"/>
      <c r="AR268" s="289"/>
      <c r="AS268" s="289"/>
      <c r="AT268" s="289"/>
      <c r="AU268" s="289"/>
      <c r="AV268" s="289"/>
      <c r="AW268" s="289"/>
      <c r="AX268" s="289"/>
      <c r="AY268" s="289"/>
      <c r="AZ268" s="289"/>
      <c r="BA268" s="289"/>
      <c r="BB268" s="289"/>
      <c r="BC268" s="289"/>
      <c r="BD268" s="289"/>
      <c r="BE268" s="289"/>
      <c r="BF268" s="289"/>
      <c r="BG268" s="289"/>
      <c r="BH268" s="289"/>
      <c r="BI268" s="289"/>
      <c r="BJ268" s="289"/>
      <c r="BK268" s="289"/>
      <c r="BL268" s="289"/>
      <c r="BM268" s="289"/>
      <c r="BN268" s="289"/>
      <c r="BO268" s="289"/>
      <c r="BP268" s="289"/>
      <c r="BQ268" s="289"/>
      <c r="BR268" s="289"/>
      <c r="BS268" s="289"/>
      <c r="BT268" s="289"/>
      <c r="BU268" s="289"/>
      <c r="BV268" s="289"/>
    </row>
    <row r="269" spans="2:74" x14ac:dyDescent="0.2">
      <c r="B269" s="210"/>
      <c r="C269" s="203"/>
      <c r="D269" s="203"/>
      <c r="E269" s="288"/>
      <c r="F269" s="289"/>
      <c r="G269" s="289"/>
      <c r="H269" s="289"/>
      <c r="I269" s="289"/>
      <c r="J269" s="289"/>
      <c r="K269" s="289"/>
      <c r="L269" s="289"/>
      <c r="M269" s="289"/>
      <c r="N269" s="289"/>
      <c r="O269" s="289"/>
      <c r="P269" s="289"/>
      <c r="Q269" s="289"/>
      <c r="R269" s="289"/>
      <c r="S269" s="289"/>
      <c r="T269" s="289"/>
      <c r="U269" s="289"/>
      <c r="V269" s="289"/>
      <c r="W269" s="289"/>
      <c r="X269" s="289"/>
      <c r="Y269" s="289"/>
      <c r="Z269" s="289"/>
      <c r="AA269" s="289"/>
      <c r="AB269" s="289"/>
      <c r="AC269" s="289"/>
      <c r="AD269" s="289"/>
      <c r="AE269" s="289"/>
      <c r="AF269" s="289"/>
      <c r="AG269" s="289"/>
      <c r="AH269" s="289"/>
      <c r="AI269" s="289"/>
      <c r="AJ269" s="289"/>
      <c r="AK269" s="289"/>
      <c r="AL269" s="289"/>
      <c r="AM269" s="289"/>
      <c r="AN269" s="289"/>
      <c r="AO269" s="289"/>
      <c r="AP269" s="289"/>
      <c r="AQ269" s="289"/>
      <c r="AR269" s="289"/>
      <c r="AS269" s="289"/>
      <c r="AT269" s="289"/>
      <c r="AU269" s="289"/>
      <c r="AV269" s="289"/>
      <c r="AW269" s="289"/>
      <c r="AX269" s="289"/>
      <c r="AY269" s="289"/>
      <c r="AZ269" s="289"/>
      <c r="BA269" s="289"/>
      <c r="BB269" s="289"/>
      <c r="BC269" s="289"/>
      <c r="BD269" s="289"/>
      <c r="BE269" s="289"/>
      <c r="BF269" s="289"/>
      <c r="BG269" s="289"/>
      <c r="BH269" s="289"/>
      <c r="BI269" s="289"/>
      <c r="BJ269" s="289"/>
      <c r="BK269" s="289"/>
      <c r="BL269" s="289"/>
      <c r="BM269" s="289"/>
      <c r="BN269" s="289"/>
      <c r="BO269" s="289"/>
      <c r="BP269" s="289"/>
      <c r="BQ269" s="289"/>
      <c r="BR269" s="289"/>
      <c r="BS269" s="289"/>
      <c r="BT269" s="289"/>
      <c r="BU269" s="289"/>
      <c r="BV269" s="289"/>
    </row>
    <row r="270" spans="2:74" x14ac:dyDescent="0.2">
      <c r="B270" s="210"/>
      <c r="C270" s="203"/>
      <c r="D270" s="203"/>
      <c r="E270" s="288"/>
      <c r="F270" s="289"/>
      <c r="G270" s="289"/>
      <c r="H270" s="289"/>
      <c r="I270" s="289"/>
      <c r="J270" s="289"/>
      <c r="K270" s="289"/>
      <c r="L270" s="289"/>
      <c r="M270" s="289"/>
      <c r="N270" s="289"/>
      <c r="O270" s="289"/>
      <c r="P270" s="289"/>
      <c r="Q270" s="289"/>
      <c r="R270" s="289"/>
      <c r="S270" s="289"/>
      <c r="T270" s="289"/>
      <c r="U270" s="289"/>
      <c r="V270" s="289"/>
      <c r="W270" s="289"/>
      <c r="X270" s="289"/>
      <c r="Y270" s="289"/>
      <c r="Z270" s="289"/>
      <c r="AA270" s="289"/>
      <c r="AB270" s="289"/>
      <c r="AC270" s="289"/>
      <c r="AD270" s="289"/>
      <c r="AE270" s="289"/>
      <c r="AF270" s="289"/>
      <c r="AG270" s="289"/>
      <c r="AH270" s="289"/>
      <c r="AI270" s="289"/>
      <c r="AJ270" s="289"/>
      <c r="AK270" s="289"/>
      <c r="AL270" s="289"/>
      <c r="AM270" s="289"/>
      <c r="AN270" s="289"/>
      <c r="AO270" s="289"/>
      <c r="AP270" s="289"/>
      <c r="AQ270" s="289"/>
      <c r="AR270" s="289"/>
      <c r="AS270" s="289"/>
      <c r="AT270" s="289"/>
      <c r="AU270" s="289"/>
      <c r="AV270" s="289"/>
      <c r="AW270" s="289"/>
      <c r="AX270" s="289"/>
      <c r="AY270" s="289"/>
      <c r="AZ270" s="289"/>
      <c r="BA270" s="289"/>
      <c r="BB270" s="289"/>
      <c r="BC270" s="289"/>
      <c r="BD270" s="289"/>
      <c r="BE270" s="289"/>
      <c r="BF270" s="289"/>
      <c r="BG270" s="289"/>
      <c r="BH270" s="289"/>
      <c r="BI270" s="289"/>
      <c r="BJ270" s="289"/>
      <c r="BK270" s="289"/>
      <c r="BL270" s="289"/>
      <c r="BM270" s="289"/>
      <c r="BN270" s="289"/>
      <c r="BO270" s="289"/>
      <c r="BP270" s="289"/>
      <c r="BQ270" s="289"/>
      <c r="BR270" s="289"/>
      <c r="BS270" s="289"/>
      <c r="BT270" s="289"/>
      <c r="BU270" s="289"/>
      <c r="BV270" s="289"/>
    </row>
    <row r="271" spans="2:74" x14ac:dyDescent="0.2">
      <c r="B271" s="210"/>
      <c r="C271" s="203"/>
      <c r="D271" s="203"/>
      <c r="E271" s="288"/>
      <c r="F271" s="289"/>
      <c r="G271" s="289"/>
      <c r="H271" s="289"/>
      <c r="I271" s="289"/>
      <c r="J271" s="289"/>
      <c r="K271" s="289"/>
      <c r="L271" s="289"/>
      <c r="M271" s="289"/>
      <c r="N271" s="289"/>
      <c r="O271" s="289"/>
      <c r="P271" s="289"/>
      <c r="Q271" s="289"/>
      <c r="R271" s="289"/>
      <c r="S271" s="289"/>
      <c r="T271" s="289"/>
      <c r="U271" s="289"/>
      <c r="V271" s="289"/>
      <c r="W271" s="289"/>
      <c r="X271" s="289"/>
      <c r="Y271" s="289"/>
      <c r="Z271" s="289"/>
      <c r="AA271" s="289"/>
      <c r="AB271" s="289"/>
      <c r="AC271" s="289"/>
      <c r="AD271" s="289"/>
      <c r="AE271" s="289"/>
      <c r="AF271" s="289"/>
      <c r="AG271" s="289"/>
      <c r="AH271" s="289"/>
      <c r="AI271" s="289"/>
      <c r="AJ271" s="289"/>
      <c r="AK271" s="289"/>
      <c r="AL271" s="289"/>
      <c r="AM271" s="289"/>
      <c r="AN271" s="289"/>
      <c r="AO271" s="289"/>
      <c r="AP271" s="289"/>
      <c r="AQ271" s="289"/>
      <c r="AR271" s="289"/>
      <c r="AS271" s="289"/>
      <c r="AT271" s="289"/>
      <c r="AU271" s="289"/>
      <c r="AV271" s="289"/>
      <c r="AW271" s="289"/>
      <c r="AX271" s="289"/>
      <c r="AY271" s="289"/>
      <c r="AZ271" s="289"/>
      <c r="BA271" s="289"/>
      <c r="BB271" s="289"/>
      <c r="BC271" s="289"/>
      <c r="BD271" s="289"/>
      <c r="BE271" s="289"/>
      <c r="BF271" s="289"/>
      <c r="BG271" s="289"/>
      <c r="BH271" s="289"/>
      <c r="BI271" s="289"/>
      <c r="BJ271" s="289"/>
      <c r="BK271" s="289"/>
      <c r="BL271" s="289"/>
      <c r="BM271" s="289"/>
      <c r="BN271" s="289"/>
      <c r="BO271" s="289"/>
      <c r="BP271" s="289"/>
      <c r="BQ271" s="289"/>
      <c r="BR271" s="289"/>
      <c r="BS271" s="289"/>
      <c r="BT271" s="289"/>
      <c r="BU271" s="289"/>
      <c r="BV271" s="289"/>
    </row>
    <row r="272" spans="2:74" x14ac:dyDescent="0.2">
      <c r="B272" s="210"/>
      <c r="C272" s="203"/>
      <c r="D272" s="203"/>
      <c r="E272" s="288"/>
      <c r="F272" s="289"/>
      <c r="G272" s="289"/>
      <c r="H272" s="289"/>
      <c r="I272" s="289"/>
      <c r="J272" s="289"/>
      <c r="K272" s="289"/>
      <c r="L272" s="289"/>
      <c r="M272" s="289"/>
      <c r="N272" s="289"/>
      <c r="O272" s="289"/>
      <c r="P272" s="289"/>
      <c r="Q272" s="289"/>
      <c r="R272" s="289"/>
      <c r="S272" s="289"/>
      <c r="T272" s="289"/>
      <c r="U272" s="289"/>
      <c r="V272" s="289"/>
      <c r="W272" s="289"/>
      <c r="X272" s="289"/>
      <c r="Y272" s="289"/>
      <c r="Z272" s="289"/>
      <c r="AA272" s="289"/>
      <c r="AB272" s="289"/>
      <c r="AC272" s="289"/>
      <c r="AD272" s="289"/>
      <c r="AE272" s="289"/>
      <c r="AF272" s="289"/>
      <c r="AG272" s="289"/>
      <c r="AH272" s="289"/>
      <c r="AI272" s="289"/>
      <c r="AJ272" s="289"/>
      <c r="AK272" s="289"/>
      <c r="AL272" s="289"/>
      <c r="AM272" s="289"/>
      <c r="AN272" s="289"/>
      <c r="AO272" s="289"/>
      <c r="AP272" s="289"/>
      <c r="AQ272" s="289"/>
      <c r="AR272" s="289"/>
      <c r="AS272" s="289"/>
      <c r="AT272" s="289"/>
      <c r="AU272" s="289"/>
      <c r="AV272" s="289"/>
      <c r="AW272" s="289"/>
      <c r="AX272" s="289"/>
      <c r="AY272" s="289"/>
      <c r="AZ272" s="289"/>
      <c r="BA272" s="289"/>
      <c r="BB272" s="289"/>
      <c r="BC272" s="289"/>
      <c r="BD272" s="289"/>
      <c r="BE272" s="289"/>
      <c r="BF272" s="289"/>
      <c r="BG272" s="289"/>
      <c r="BH272" s="289"/>
      <c r="BI272" s="289"/>
      <c r="BJ272" s="289"/>
      <c r="BK272" s="289"/>
      <c r="BL272" s="289"/>
      <c r="BM272" s="289"/>
      <c r="BN272" s="289"/>
      <c r="BO272" s="289"/>
      <c r="BP272" s="289"/>
      <c r="BQ272" s="289"/>
      <c r="BR272" s="289"/>
      <c r="BS272" s="289"/>
      <c r="BT272" s="289"/>
      <c r="BU272" s="289"/>
      <c r="BV272" s="289"/>
    </row>
    <row r="273" spans="2:74" x14ac:dyDescent="0.2">
      <c r="B273" s="210"/>
      <c r="C273" s="210"/>
      <c r="D273" s="210"/>
      <c r="E273" s="288"/>
      <c r="F273" s="289"/>
      <c r="G273" s="289"/>
      <c r="H273" s="289"/>
      <c r="I273" s="289"/>
      <c r="J273" s="289"/>
      <c r="K273" s="289"/>
      <c r="L273" s="289"/>
      <c r="M273" s="289"/>
      <c r="N273" s="289"/>
      <c r="O273" s="289"/>
      <c r="P273" s="289"/>
      <c r="Q273" s="289"/>
      <c r="R273" s="289"/>
      <c r="S273" s="289"/>
      <c r="T273" s="289"/>
      <c r="U273" s="289"/>
      <c r="V273" s="289"/>
      <c r="W273" s="289"/>
      <c r="X273" s="289"/>
      <c r="Y273" s="289"/>
      <c r="Z273" s="289"/>
      <c r="AA273" s="289"/>
      <c r="AB273" s="289"/>
      <c r="AC273" s="289"/>
      <c r="AD273" s="289"/>
      <c r="AE273" s="289"/>
      <c r="AF273" s="289"/>
      <c r="AG273" s="289"/>
      <c r="AH273" s="289"/>
      <c r="AI273" s="289"/>
      <c r="AJ273" s="289"/>
      <c r="AK273" s="289"/>
      <c r="AL273" s="289"/>
      <c r="AM273" s="289"/>
      <c r="AN273" s="289"/>
      <c r="AO273" s="289"/>
      <c r="AP273" s="289"/>
      <c r="AQ273" s="289"/>
      <c r="AR273" s="289"/>
      <c r="AS273" s="289"/>
      <c r="AT273" s="289"/>
      <c r="AU273" s="289"/>
      <c r="AV273" s="289"/>
      <c r="AW273" s="289"/>
      <c r="AX273" s="289"/>
      <c r="AY273" s="289"/>
      <c r="AZ273" s="289"/>
      <c r="BA273" s="289"/>
      <c r="BB273" s="289"/>
      <c r="BC273" s="289"/>
      <c r="BD273" s="289"/>
      <c r="BE273" s="289"/>
      <c r="BF273" s="289"/>
      <c r="BG273" s="289"/>
      <c r="BH273" s="289"/>
      <c r="BI273" s="289"/>
      <c r="BJ273" s="289"/>
      <c r="BK273" s="289"/>
      <c r="BL273" s="289"/>
      <c r="BM273" s="289"/>
      <c r="BN273" s="289"/>
      <c r="BO273" s="289"/>
      <c r="BP273" s="289"/>
      <c r="BQ273" s="289"/>
      <c r="BR273" s="289"/>
      <c r="BS273" s="289"/>
      <c r="BT273" s="289"/>
      <c r="BU273" s="289"/>
      <c r="BV273" s="289"/>
    </row>
    <row r="274" spans="2:74" x14ac:dyDescent="0.2">
      <c r="B274" s="210"/>
      <c r="C274" s="203"/>
      <c r="D274" s="203"/>
      <c r="E274" s="288"/>
      <c r="F274" s="289"/>
      <c r="G274" s="289"/>
      <c r="H274" s="289"/>
      <c r="I274" s="289"/>
      <c r="J274" s="289"/>
      <c r="K274" s="289"/>
      <c r="L274" s="289"/>
      <c r="M274" s="289"/>
      <c r="N274" s="289"/>
      <c r="O274" s="289"/>
      <c r="P274" s="289"/>
      <c r="Q274" s="289"/>
      <c r="R274" s="289"/>
      <c r="S274" s="289"/>
      <c r="T274" s="289"/>
      <c r="U274" s="289"/>
      <c r="V274" s="289"/>
      <c r="W274" s="289"/>
      <c r="X274" s="289"/>
      <c r="Y274" s="289"/>
      <c r="Z274" s="289"/>
      <c r="AA274" s="289"/>
      <c r="AB274" s="289"/>
      <c r="AC274" s="289"/>
      <c r="AD274" s="289"/>
      <c r="AE274" s="289"/>
      <c r="AF274" s="289"/>
      <c r="AG274" s="289"/>
      <c r="AH274" s="289"/>
      <c r="AI274" s="289"/>
      <c r="AJ274" s="289"/>
      <c r="AK274" s="289"/>
      <c r="AL274" s="289"/>
      <c r="AM274" s="289"/>
      <c r="AN274" s="289"/>
      <c r="AO274" s="289"/>
      <c r="AP274" s="289"/>
      <c r="AQ274" s="289"/>
      <c r="AR274" s="289"/>
      <c r="AS274" s="289"/>
      <c r="AT274" s="289"/>
      <c r="AU274" s="289"/>
      <c r="AV274" s="289"/>
      <c r="AW274" s="289"/>
      <c r="AX274" s="289"/>
      <c r="AY274" s="289"/>
      <c r="AZ274" s="289"/>
      <c r="BA274" s="289"/>
      <c r="BB274" s="289"/>
      <c r="BC274" s="289"/>
      <c r="BD274" s="289"/>
      <c r="BE274" s="289"/>
      <c r="BF274" s="289"/>
      <c r="BG274" s="289"/>
      <c r="BH274" s="289"/>
      <c r="BI274" s="289"/>
      <c r="BJ274" s="289"/>
      <c r="BK274" s="289"/>
      <c r="BL274" s="289"/>
      <c r="BM274" s="289"/>
      <c r="BN274" s="289"/>
      <c r="BO274" s="289"/>
      <c r="BP274" s="289"/>
      <c r="BQ274" s="289"/>
      <c r="BR274" s="289"/>
      <c r="BS274" s="289"/>
      <c r="BT274" s="289"/>
      <c r="BU274" s="289"/>
      <c r="BV274" s="289"/>
    </row>
    <row r="275" spans="2:74" x14ac:dyDescent="0.2">
      <c r="B275" s="210"/>
      <c r="C275" s="203"/>
      <c r="D275" s="203"/>
      <c r="E275" s="288"/>
      <c r="F275" s="289"/>
      <c r="G275" s="289"/>
      <c r="H275" s="289"/>
      <c r="I275" s="289"/>
      <c r="J275" s="289"/>
      <c r="K275" s="289"/>
      <c r="L275" s="289"/>
      <c r="M275" s="289"/>
      <c r="N275" s="289"/>
      <c r="O275" s="289"/>
      <c r="P275" s="289"/>
      <c r="Q275" s="289"/>
      <c r="R275" s="289"/>
      <c r="S275" s="289"/>
      <c r="T275" s="289"/>
      <c r="U275" s="289"/>
      <c r="V275" s="289"/>
      <c r="W275" s="289"/>
      <c r="X275" s="289"/>
      <c r="Y275" s="289"/>
      <c r="Z275" s="289"/>
      <c r="AA275" s="289"/>
      <c r="AB275" s="289"/>
      <c r="AC275" s="289"/>
      <c r="AD275" s="289"/>
      <c r="AE275" s="289"/>
      <c r="AF275" s="289"/>
      <c r="AG275" s="289"/>
      <c r="AH275" s="289"/>
      <c r="AI275" s="289"/>
      <c r="AJ275" s="289"/>
      <c r="AK275" s="289"/>
      <c r="AL275" s="289"/>
      <c r="AM275" s="289"/>
      <c r="AN275" s="289"/>
      <c r="AO275" s="289"/>
      <c r="AP275" s="289"/>
      <c r="AQ275" s="289"/>
      <c r="AR275" s="289"/>
      <c r="AS275" s="289"/>
      <c r="AT275" s="289"/>
      <c r="AU275" s="289"/>
      <c r="AV275" s="289"/>
      <c r="AW275" s="289"/>
      <c r="AX275" s="289"/>
      <c r="AY275" s="289"/>
      <c r="AZ275" s="289"/>
      <c r="BA275" s="289"/>
      <c r="BB275" s="289"/>
      <c r="BC275" s="289"/>
      <c r="BD275" s="289"/>
      <c r="BE275" s="289"/>
      <c r="BF275" s="289"/>
      <c r="BG275" s="289"/>
      <c r="BH275" s="289"/>
      <c r="BI275" s="289"/>
      <c r="BJ275" s="289"/>
      <c r="BK275" s="289"/>
      <c r="BL275" s="289"/>
      <c r="BM275" s="289"/>
      <c r="BN275" s="289"/>
      <c r="BO275" s="289"/>
      <c r="BP275" s="289"/>
      <c r="BQ275" s="289"/>
      <c r="BR275" s="289"/>
      <c r="BS275" s="289"/>
      <c r="BT275" s="289"/>
      <c r="BU275" s="289"/>
      <c r="BV275" s="289"/>
    </row>
    <row r="276" spans="2:74" x14ac:dyDescent="0.2">
      <c r="B276" s="210"/>
      <c r="C276" s="203"/>
      <c r="D276" s="203"/>
      <c r="E276" s="288"/>
      <c r="F276" s="289"/>
      <c r="G276" s="289"/>
      <c r="H276" s="289"/>
      <c r="I276" s="289"/>
      <c r="J276" s="289"/>
      <c r="K276" s="289"/>
      <c r="L276" s="289"/>
      <c r="M276" s="289"/>
      <c r="N276" s="289"/>
      <c r="O276" s="289"/>
      <c r="P276" s="289"/>
      <c r="Q276" s="289"/>
      <c r="R276" s="289"/>
      <c r="S276" s="289"/>
      <c r="T276" s="289"/>
      <c r="U276" s="289"/>
      <c r="V276" s="289"/>
      <c r="W276" s="289"/>
      <c r="X276" s="289"/>
      <c r="Y276" s="289"/>
      <c r="Z276" s="289"/>
      <c r="AA276" s="289"/>
      <c r="AB276" s="289"/>
      <c r="AC276" s="289"/>
      <c r="AD276" s="289"/>
      <c r="AE276" s="289"/>
      <c r="AF276" s="289"/>
      <c r="AG276" s="289"/>
      <c r="AH276" s="289"/>
      <c r="AI276" s="289"/>
      <c r="AJ276" s="289"/>
      <c r="AK276" s="289"/>
      <c r="AL276" s="289"/>
      <c r="AM276" s="289"/>
      <c r="AN276" s="289"/>
      <c r="AO276" s="289"/>
      <c r="AP276" s="289"/>
      <c r="AQ276" s="289"/>
      <c r="AR276" s="289"/>
      <c r="AS276" s="289"/>
      <c r="AT276" s="289"/>
      <c r="AU276" s="289"/>
      <c r="AV276" s="289"/>
      <c r="AW276" s="289"/>
      <c r="AX276" s="289"/>
      <c r="AY276" s="289"/>
      <c r="AZ276" s="289"/>
      <c r="BA276" s="289"/>
      <c r="BB276" s="289"/>
      <c r="BC276" s="289"/>
      <c r="BD276" s="289"/>
      <c r="BE276" s="289"/>
      <c r="BF276" s="289"/>
      <c r="BG276" s="289"/>
      <c r="BH276" s="289"/>
      <c r="BI276" s="289"/>
      <c r="BJ276" s="289"/>
      <c r="BK276" s="289"/>
      <c r="BL276" s="289"/>
      <c r="BM276" s="289"/>
      <c r="BN276" s="289"/>
      <c r="BO276" s="289"/>
      <c r="BP276" s="289"/>
      <c r="BQ276" s="289"/>
      <c r="BR276" s="289"/>
      <c r="BS276" s="289"/>
      <c r="BT276" s="289"/>
      <c r="BU276" s="289"/>
      <c r="BV276" s="289"/>
    </row>
    <row r="277" spans="2:74" x14ac:dyDescent="0.2">
      <c r="B277" s="210"/>
      <c r="C277" s="203"/>
      <c r="D277" s="203"/>
      <c r="E277" s="288"/>
      <c r="F277" s="289"/>
      <c r="G277" s="289"/>
      <c r="H277" s="289"/>
      <c r="I277" s="289"/>
      <c r="J277" s="289"/>
      <c r="K277" s="289"/>
      <c r="L277" s="289"/>
      <c r="M277" s="289"/>
      <c r="N277" s="289"/>
      <c r="O277" s="289"/>
      <c r="P277" s="289"/>
      <c r="Q277" s="289"/>
      <c r="R277" s="289"/>
      <c r="S277" s="289"/>
      <c r="T277" s="289"/>
      <c r="U277" s="289"/>
      <c r="V277" s="289"/>
      <c r="W277" s="289"/>
      <c r="X277" s="289"/>
      <c r="Y277" s="289"/>
      <c r="Z277" s="289"/>
      <c r="AA277" s="289"/>
      <c r="AB277" s="289"/>
      <c r="AC277" s="289"/>
      <c r="AD277" s="289"/>
      <c r="AE277" s="289"/>
      <c r="AF277" s="289"/>
      <c r="AG277" s="289"/>
      <c r="AH277" s="289"/>
      <c r="AI277" s="289"/>
      <c r="AJ277" s="289"/>
      <c r="AK277" s="289"/>
      <c r="AL277" s="289"/>
      <c r="AM277" s="289"/>
      <c r="AN277" s="289"/>
      <c r="AO277" s="289"/>
      <c r="AP277" s="289"/>
      <c r="AQ277" s="289"/>
      <c r="AR277" s="289"/>
      <c r="AS277" s="289"/>
      <c r="AT277" s="289"/>
      <c r="AU277" s="289"/>
      <c r="AV277" s="289"/>
      <c r="AW277" s="289"/>
      <c r="AX277" s="289"/>
      <c r="AY277" s="289"/>
      <c r="AZ277" s="289"/>
      <c r="BA277" s="289"/>
      <c r="BB277" s="289"/>
      <c r="BC277" s="289"/>
      <c r="BD277" s="289"/>
      <c r="BE277" s="289"/>
      <c r="BF277" s="289"/>
      <c r="BG277" s="289"/>
      <c r="BH277" s="289"/>
      <c r="BI277" s="289"/>
      <c r="BJ277" s="289"/>
      <c r="BK277" s="289"/>
      <c r="BL277" s="289"/>
      <c r="BM277" s="289"/>
      <c r="BN277" s="289"/>
      <c r="BO277" s="289"/>
      <c r="BP277" s="289"/>
      <c r="BQ277" s="289"/>
      <c r="BR277" s="289"/>
      <c r="BS277" s="289"/>
      <c r="BT277" s="289"/>
      <c r="BU277" s="289"/>
      <c r="BV277" s="289"/>
    </row>
    <row r="278" spans="2:74" x14ac:dyDescent="0.2">
      <c r="B278" s="210"/>
      <c r="C278" s="203"/>
      <c r="D278" s="203"/>
      <c r="E278" s="288"/>
      <c r="F278" s="289"/>
      <c r="G278" s="289"/>
      <c r="H278" s="289"/>
      <c r="I278" s="289"/>
      <c r="J278" s="289"/>
      <c r="K278" s="289"/>
      <c r="L278" s="289"/>
      <c r="M278" s="289"/>
      <c r="N278" s="289"/>
      <c r="O278" s="289"/>
      <c r="P278" s="289"/>
      <c r="Q278" s="289"/>
      <c r="R278" s="289"/>
      <c r="S278" s="289"/>
      <c r="T278" s="289"/>
      <c r="U278" s="289"/>
      <c r="V278" s="289"/>
      <c r="W278" s="289"/>
      <c r="X278" s="289"/>
      <c r="Y278" s="289"/>
      <c r="Z278" s="289"/>
      <c r="AA278" s="289"/>
      <c r="AB278" s="289"/>
      <c r="AC278" s="289"/>
      <c r="AD278" s="289"/>
      <c r="AE278" s="289"/>
      <c r="AF278" s="289"/>
      <c r="AG278" s="289"/>
      <c r="AH278" s="289"/>
      <c r="AI278" s="289"/>
      <c r="AJ278" s="289"/>
      <c r="AK278" s="289"/>
      <c r="AL278" s="289"/>
      <c r="AM278" s="289"/>
      <c r="AN278" s="289"/>
      <c r="AO278" s="289"/>
      <c r="AP278" s="289"/>
      <c r="AQ278" s="289"/>
      <c r="AR278" s="289"/>
      <c r="AS278" s="289"/>
      <c r="AT278" s="289"/>
      <c r="AU278" s="289"/>
      <c r="AV278" s="289"/>
      <c r="AW278" s="289"/>
      <c r="AX278" s="289"/>
      <c r="AY278" s="289"/>
      <c r="AZ278" s="289"/>
      <c r="BA278" s="289"/>
      <c r="BB278" s="289"/>
      <c r="BC278" s="289"/>
      <c r="BD278" s="289"/>
      <c r="BE278" s="289"/>
      <c r="BF278" s="289"/>
      <c r="BG278" s="289"/>
      <c r="BH278" s="289"/>
      <c r="BI278" s="289"/>
      <c r="BJ278" s="289"/>
      <c r="BK278" s="289"/>
      <c r="BL278" s="289"/>
      <c r="BM278" s="289"/>
      <c r="BN278" s="289"/>
      <c r="BO278" s="289"/>
      <c r="BP278" s="289"/>
      <c r="BQ278" s="289"/>
      <c r="BR278" s="289"/>
      <c r="BS278" s="289"/>
      <c r="BT278" s="289"/>
      <c r="BU278" s="289"/>
      <c r="BV278" s="289"/>
    </row>
    <row r="279" spans="2:74" x14ac:dyDescent="0.2">
      <c r="B279" s="210"/>
      <c r="C279" s="203"/>
      <c r="D279" s="203"/>
      <c r="E279" s="288"/>
      <c r="F279" s="289"/>
      <c r="G279" s="289"/>
      <c r="H279" s="289"/>
      <c r="I279" s="289"/>
      <c r="J279" s="289"/>
      <c r="K279" s="289"/>
      <c r="L279" s="289"/>
      <c r="M279" s="289"/>
      <c r="N279" s="289"/>
      <c r="O279" s="289"/>
      <c r="P279" s="289"/>
      <c r="Q279" s="289"/>
      <c r="R279" s="289"/>
      <c r="S279" s="289"/>
      <c r="T279" s="289"/>
      <c r="U279" s="289"/>
      <c r="V279" s="289"/>
      <c r="W279" s="289"/>
      <c r="X279" s="289"/>
      <c r="Y279" s="289"/>
      <c r="Z279" s="289"/>
      <c r="AA279" s="289"/>
      <c r="AB279" s="289"/>
      <c r="AC279" s="289"/>
      <c r="AD279" s="289"/>
      <c r="AE279" s="289"/>
      <c r="AF279" s="289"/>
      <c r="AG279" s="289"/>
      <c r="AH279" s="289"/>
      <c r="AI279" s="289"/>
      <c r="AJ279" s="289"/>
      <c r="AK279" s="289"/>
      <c r="AL279" s="289"/>
      <c r="AM279" s="289"/>
      <c r="AN279" s="289"/>
      <c r="AO279" s="289"/>
      <c r="AP279" s="289"/>
      <c r="AQ279" s="289"/>
      <c r="AR279" s="289"/>
      <c r="AS279" s="289"/>
      <c r="AT279" s="289"/>
      <c r="AU279" s="289"/>
      <c r="AV279" s="289"/>
      <c r="AW279" s="289"/>
      <c r="AX279" s="289"/>
      <c r="AY279" s="289"/>
      <c r="AZ279" s="289"/>
      <c r="BA279" s="289"/>
      <c r="BB279" s="289"/>
      <c r="BC279" s="289"/>
      <c r="BD279" s="289"/>
      <c r="BE279" s="289"/>
      <c r="BF279" s="289"/>
      <c r="BG279" s="289"/>
      <c r="BH279" s="289"/>
      <c r="BI279" s="289"/>
      <c r="BJ279" s="289"/>
      <c r="BK279" s="289"/>
      <c r="BL279" s="289"/>
      <c r="BM279" s="289"/>
      <c r="BN279" s="289"/>
      <c r="BO279" s="289"/>
      <c r="BP279" s="289"/>
      <c r="BQ279" s="289"/>
      <c r="BR279" s="289"/>
      <c r="BS279" s="289"/>
      <c r="BT279" s="289"/>
      <c r="BU279" s="289"/>
      <c r="BV279" s="289"/>
    </row>
    <row r="280" spans="2:74" x14ac:dyDescent="0.2">
      <c r="B280" s="210"/>
      <c r="C280" s="203"/>
      <c r="D280" s="203"/>
      <c r="E280" s="288"/>
      <c r="F280" s="289"/>
      <c r="G280" s="289"/>
      <c r="H280" s="289"/>
      <c r="I280" s="289"/>
      <c r="J280" s="289"/>
      <c r="K280" s="289"/>
      <c r="L280" s="289"/>
      <c r="M280" s="289"/>
      <c r="N280" s="289"/>
      <c r="O280" s="289"/>
      <c r="P280" s="289"/>
      <c r="Q280" s="289"/>
      <c r="R280" s="289"/>
      <c r="S280" s="289"/>
      <c r="T280" s="289"/>
      <c r="U280" s="289"/>
      <c r="V280" s="289"/>
      <c r="W280" s="289"/>
      <c r="X280" s="289"/>
      <c r="Y280" s="289"/>
      <c r="Z280" s="289"/>
      <c r="AA280" s="289"/>
      <c r="AB280" s="289"/>
      <c r="AC280" s="289"/>
      <c r="AD280" s="289"/>
      <c r="AE280" s="289"/>
      <c r="AF280" s="289"/>
      <c r="AG280" s="289"/>
      <c r="AH280" s="289"/>
      <c r="AI280" s="289"/>
      <c r="AJ280" s="289"/>
      <c r="AK280" s="289"/>
      <c r="AL280" s="289"/>
      <c r="AM280" s="289"/>
      <c r="AN280" s="289"/>
      <c r="AO280" s="289"/>
      <c r="AP280" s="289"/>
      <c r="AQ280" s="289"/>
      <c r="AR280" s="289"/>
      <c r="AS280" s="289"/>
      <c r="AT280" s="289"/>
      <c r="AU280" s="289"/>
      <c r="AV280" s="289"/>
      <c r="AW280" s="289"/>
      <c r="AX280" s="289"/>
      <c r="AY280" s="289"/>
      <c r="AZ280" s="289"/>
      <c r="BA280" s="289"/>
      <c r="BB280" s="289"/>
      <c r="BC280" s="289"/>
      <c r="BD280" s="289"/>
      <c r="BE280" s="289"/>
      <c r="BF280" s="289"/>
      <c r="BG280" s="289"/>
      <c r="BH280" s="289"/>
      <c r="BI280" s="289"/>
      <c r="BJ280" s="289"/>
      <c r="BK280" s="289"/>
      <c r="BL280" s="289"/>
      <c r="BM280" s="289"/>
      <c r="BN280" s="289"/>
      <c r="BO280" s="289"/>
      <c r="BP280" s="289"/>
      <c r="BQ280" s="289"/>
      <c r="BR280" s="289"/>
      <c r="BS280" s="289"/>
      <c r="BT280" s="289"/>
      <c r="BU280" s="289"/>
      <c r="BV280" s="289"/>
    </row>
    <row r="281" spans="2:74" x14ac:dyDescent="0.2">
      <c r="B281" s="210"/>
      <c r="C281" s="203"/>
      <c r="D281" s="203"/>
      <c r="E281" s="288"/>
      <c r="F281" s="289"/>
      <c r="G281" s="289"/>
      <c r="H281" s="289"/>
      <c r="I281" s="289"/>
      <c r="J281" s="289"/>
      <c r="K281" s="289"/>
      <c r="L281" s="289"/>
      <c r="M281" s="289"/>
      <c r="N281" s="289"/>
      <c r="O281" s="289"/>
      <c r="P281" s="289"/>
      <c r="Q281" s="289"/>
      <c r="R281" s="289"/>
      <c r="S281" s="289"/>
      <c r="T281" s="289"/>
      <c r="U281" s="289"/>
      <c r="V281" s="289"/>
      <c r="W281" s="289"/>
      <c r="X281" s="289"/>
      <c r="Y281" s="289"/>
      <c r="Z281" s="289"/>
      <c r="AA281" s="289"/>
      <c r="AB281" s="289"/>
      <c r="AC281" s="289"/>
      <c r="AD281" s="289"/>
      <c r="AE281" s="289"/>
      <c r="AF281" s="289"/>
      <c r="AG281" s="289"/>
      <c r="AH281" s="289"/>
      <c r="AI281" s="289"/>
      <c r="AJ281" s="289"/>
      <c r="AK281" s="289"/>
      <c r="AL281" s="289"/>
      <c r="AM281" s="289"/>
      <c r="AN281" s="289"/>
      <c r="AO281" s="289"/>
      <c r="AP281" s="289"/>
      <c r="AQ281" s="289"/>
      <c r="AR281" s="289"/>
      <c r="AS281" s="289"/>
      <c r="AT281" s="289"/>
      <c r="AU281" s="289"/>
      <c r="AV281" s="289"/>
      <c r="AW281" s="289"/>
      <c r="AX281" s="289"/>
      <c r="AY281" s="289"/>
      <c r="AZ281" s="289"/>
      <c r="BA281" s="289"/>
      <c r="BB281" s="289"/>
      <c r="BC281" s="289"/>
      <c r="BD281" s="289"/>
      <c r="BE281" s="289"/>
      <c r="BF281" s="289"/>
      <c r="BG281" s="289"/>
      <c r="BH281" s="289"/>
      <c r="BI281" s="289"/>
      <c r="BJ281" s="289"/>
      <c r="BK281" s="289"/>
      <c r="BL281" s="289"/>
      <c r="BM281" s="289"/>
      <c r="BN281" s="289"/>
      <c r="BO281" s="289"/>
      <c r="BP281" s="289"/>
      <c r="BQ281" s="289"/>
      <c r="BR281" s="289"/>
      <c r="BS281" s="289"/>
      <c r="BT281" s="289"/>
      <c r="BU281" s="289"/>
      <c r="BV281" s="289"/>
    </row>
    <row r="282" spans="2:74" x14ac:dyDescent="0.2">
      <c r="B282" s="210"/>
      <c r="C282" s="203"/>
      <c r="D282" s="203"/>
      <c r="E282" s="288"/>
      <c r="F282" s="289"/>
      <c r="G282" s="289"/>
      <c r="H282" s="289"/>
      <c r="I282" s="289"/>
      <c r="J282" s="289"/>
      <c r="K282" s="289"/>
      <c r="L282" s="289"/>
      <c r="M282" s="289"/>
      <c r="N282" s="289"/>
      <c r="O282" s="289"/>
      <c r="P282" s="289"/>
      <c r="Q282" s="289"/>
      <c r="R282" s="289"/>
      <c r="S282" s="289"/>
      <c r="T282" s="289"/>
      <c r="U282" s="289"/>
      <c r="V282" s="289"/>
      <c r="W282" s="289"/>
      <c r="X282" s="289"/>
      <c r="Y282" s="289"/>
      <c r="Z282" s="289"/>
      <c r="AA282" s="289"/>
      <c r="AB282" s="289"/>
      <c r="AC282" s="289"/>
      <c r="AD282" s="289"/>
      <c r="AE282" s="289"/>
      <c r="AF282" s="289"/>
      <c r="AG282" s="289"/>
      <c r="AH282" s="289"/>
      <c r="AI282" s="289"/>
      <c r="AJ282" s="289"/>
      <c r="AK282" s="289"/>
      <c r="AL282" s="289"/>
      <c r="AM282" s="289"/>
      <c r="AN282" s="289"/>
      <c r="AO282" s="289"/>
      <c r="AP282" s="289"/>
      <c r="AQ282" s="289"/>
      <c r="AR282" s="289"/>
      <c r="AS282" s="289"/>
      <c r="AT282" s="289"/>
      <c r="AU282" s="289"/>
      <c r="AV282" s="289"/>
      <c r="AW282" s="289"/>
      <c r="AX282" s="289"/>
      <c r="AY282" s="289"/>
      <c r="AZ282" s="289"/>
      <c r="BA282" s="289"/>
      <c r="BB282" s="289"/>
      <c r="BC282" s="289"/>
      <c r="BD282" s="289"/>
      <c r="BE282" s="289"/>
      <c r="BF282" s="289"/>
      <c r="BG282" s="289"/>
      <c r="BH282" s="289"/>
      <c r="BI282" s="289"/>
      <c r="BJ282" s="289"/>
      <c r="BK282" s="289"/>
      <c r="BL282" s="289"/>
      <c r="BM282" s="289"/>
      <c r="BN282" s="289"/>
      <c r="BO282" s="289"/>
      <c r="BP282" s="289"/>
      <c r="BQ282" s="289"/>
      <c r="BR282" s="289"/>
      <c r="BS282" s="289"/>
      <c r="BT282" s="289"/>
      <c r="BU282" s="289"/>
      <c r="BV282" s="289"/>
    </row>
    <row r="283" spans="2:74" x14ac:dyDescent="0.2">
      <c r="B283" s="210"/>
      <c r="C283" s="203"/>
      <c r="D283" s="203"/>
      <c r="E283" s="288"/>
      <c r="F283" s="289"/>
      <c r="G283" s="289"/>
      <c r="H283" s="289"/>
      <c r="I283" s="289"/>
      <c r="J283" s="289"/>
      <c r="K283" s="289"/>
      <c r="L283" s="289"/>
      <c r="M283" s="289"/>
      <c r="N283" s="289"/>
      <c r="O283" s="289"/>
      <c r="P283" s="289"/>
      <c r="Q283" s="289"/>
      <c r="R283" s="289"/>
      <c r="S283" s="289"/>
      <c r="T283" s="289"/>
      <c r="U283" s="289"/>
      <c r="V283" s="289"/>
      <c r="W283" s="289"/>
      <c r="X283" s="289"/>
      <c r="Y283" s="289"/>
      <c r="Z283" s="289"/>
      <c r="AA283" s="289"/>
      <c r="AB283" s="289"/>
      <c r="AC283" s="289"/>
      <c r="AD283" s="289"/>
      <c r="AE283" s="289"/>
      <c r="AF283" s="289"/>
      <c r="AG283" s="289"/>
      <c r="AH283" s="289"/>
      <c r="AI283" s="289"/>
      <c r="AJ283" s="289"/>
      <c r="AK283" s="289"/>
      <c r="AL283" s="289"/>
      <c r="AM283" s="289"/>
      <c r="AN283" s="289"/>
      <c r="AO283" s="289"/>
      <c r="AP283" s="289"/>
      <c r="AQ283" s="289"/>
      <c r="AR283" s="289"/>
      <c r="AS283" s="289"/>
      <c r="AT283" s="289"/>
      <c r="AU283" s="289"/>
      <c r="AV283" s="289"/>
      <c r="AW283" s="289"/>
      <c r="AX283" s="289"/>
      <c r="AY283" s="289"/>
      <c r="AZ283" s="289"/>
      <c r="BA283" s="289"/>
      <c r="BB283" s="289"/>
      <c r="BC283" s="289"/>
      <c r="BD283" s="289"/>
      <c r="BE283" s="289"/>
      <c r="BF283" s="289"/>
      <c r="BG283" s="289"/>
      <c r="BH283" s="289"/>
      <c r="BI283" s="289"/>
      <c r="BJ283" s="289"/>
      <c r="BK283" s="289"/>
      <c r="BL283" s="289"/>
      <c r="BM283" s="289"/>
      <c r="BN283" s="289"/>
      <c r="BO283" s="289"/>
      <c r="BP283" s="289"/>
      <c r="BQ283" s="289"/>
      <c r="BR283" s="289"/>
      <c r="BS283" s="289"/>
      <c r="BT283" s="289"/>
      <c r="BU283" s="289"/>
      <c r="BV283" s="289"/>
    </row>
    <row r="284" spans="2:74" x14ac:dyDescent="0.2">
      <c r="B284" s="210"/>
      <c r="C284" s="203"/>
      <c r="D284" s="203"/>
      <c r="E284" s="288"/>
      <c r="F284" s="289"/>
      <c r="G284" s="289"/>
      <c r="H284" s="289"/>
      <c r="I284" s="289"/>
      <c r="J284" s="289"/>
      <c r="K284" s="289"/>
      <c r="L284" s="289"/>
      <c r="M284" s="289"/>
      <c r="N284" s="289"/>
      <c r="O284" s="289"/>
      <c r="P284" s="289"/>
      <c r="Q284" s="289"/>
      <c r="R284" s="289"/>
      <c r="S284" s="289"/>
      <c r="T284" s="289"/>
      <c r="U284" s="289"/>
      <c r="V284" s="289"/>
      <c r="W284" s="289"/>
      <c r="X284" s="289"/>
      <c r="Y284" s="289"/>
      <c r="Z284" s="289"/>
      <c r="AA284" s="289"/>
      <c r="AB284" s="289"/>
      <c r="AC284" s="289"/>
      <c r="AD284" s="289"/>
      <c r="AE284" s="289"/>
      <c r="AF284" s="289"/>
      <c r="AG284" s="289"/>
      <c r="AH284" s="289"/>
      <c r="AI284" s="289"/>
      <c r="AJ284" s="289"/>
      <c r="AK284" s="289"/>
      <c r="AL284" s="289"/>
      <c r="AM284" s="289"/>
      <c r="AN284" s="289"/>
      <c r="AO284" s="289"/>
      <c r="AP284" s="289"/>
      <c r="AQ284" s="289"/>
      <c r="AR284" s="289"/>
      <c r="AS284" s="289"/>
      <c r="AT284" s="289"/>
      <c r="AU284" s="289"/>
      <c r="AV284" s="289"/>
      <c r="AW284" s="289"/>
      <c r="AX284" s="289"/>
      <c r="AY284" s="289"/>
      <c r="AZ284" s="289"/>
      <c r="BA284" s="289"/>
      <c r="BB284" s="289"/>
      <c r="BC284" s="289"/>
      <c r="BD284" s="289"/>
      <c r="BE284" s="289"/>
      <c r="BF284" s="289"/>
      <c r="BG284" s="289"/>
      <c r="BH284" s="289"/>
      <c r="BI284" s="289"/>
      <c r="BJ284" s="289"/>
      <c r="BK284" s="289"/>
      <c r="BL284" s="289"/>
      <c r="BM284" s="289"/>
      <c r="BN284" s="289"/>
      <c r="BO284" s="289"/>
      <c r="BP284" s="289"/>
      <c r="BQ284" s="289"/>
      <c r="BR284" s="289"/>
      <c r="BS284" s="289"/>
      <c r="BT284" s="289"/>
      <c r="BU284" s="289"/>
      <c r="BV284" s="289"/>
    </row>
    <row r="285" spans="2:74" x14ac:dyDescent="0.2">
      <c r="B285" s="210"/>
      <c r="C285" s="203"/>
      <c r="D285" s="203"/>
      <c r="E285" s="288"/>
      <c r="F285" s="289"/>
      <c r="G285" s="289"/>
      <c r="H285" s="289"/>
      <c r="I285" s="289"/>
      <c r="J285" s="289"/>
      <c r="K285" s="289"/>
      <c r="L285" s="289"/>
      <c r="M285" s="289"/>
      <c r="N285" s="289"/>
      <c r="O285" s="289"/>
      <c r="P285" s="289"/>
      <c r="Q285" s="289"/>
      <c r="R285" s="289"/>
      <c r="S285" s="289"/>
      <c r="T285" s="289"/>
      <c r="U285" s="289"/>
      <c r="V285" s="289"/>
      <c r="W285" s="289"/>
      <c r="X285" s="289"/>
      <c r="Y285" s="289"/>
      <c r="Z285" s="289"/>
      <c r="AA285" s="289"/>
      <c r="AB285" s="289"/>
      <c r="AC285" s="289"/>
      <c r="AD285" s="289"/>
      <c r="AE285" s="289"/>
      <c r="AF285" s="289"/>
      <c r="AG285" s="289"/>
      <c r="AH285" s="289"/>
      <c r="AI285" s="289"/>
      <c r="AJ285" s="289"/>
      <c r="AK285" s="289"/>
      <c r="AL285" s="289"/>
      <c r="AM285" s="289"/>
      <c r="AN285" s="289"/>
      <c r="AO285" s="289"/>
      <c r="AP285" s="289"/>
      <c r="AQ285" s="289"/>
      <c r="AR285" s="289"/>
      <c r="AS285" s="289"/>
      <c r="AT285" s="289"/>
      <c r="AU285" s="289"/>
      <c r="AV285" s="289"/>
      <c r="AW285" s="289"/>
      <c r="AX285" s="289"/>
      <c r="AY285" s="289"/>
      <c r="AZ285" s="289"/>
      <c r="BA285" s="289"/>
      <c r="BB285" s="289"/>
      <c r="BC285" s="289"/>
      <c r="BD285" s="289"/>
      <c r="BE285" s="289"/>
      <c r="BF285" s="289"/>
      <c r="BG285" s="289"/>
      <c r="BH285" s="289"/>
      <c r="BI285" s="289"/>
      <c r="BJ285" s="289"/>
      <c r="BK285" s="289"/>
      <c r="BL285" s="289"/>
      <c r="BM285" s="289"/>
      <c r="BN285" s="289"/>
      <c r="BO285" s="289"/>
      <c r="BP285" s="289"/>
      <c r="BQ285" s="289"/>
      <c r="BR285" s="289"/>
      <c r="BS285" s="289"/>
      <c r="BT285" s="289"/>
      <c r="BU285" s="289"/>
      <c r="BV285" s="289"/>
    </row>
    <row r="286" spans="2:74" x14ac:dyDescent="0.2">
      <c r="B286" s="210"/>
      <c r="C286" s="210"/>
      <c r="D286" s="210"/>
      <c r="E286" s="288"/>
      <c r="F286" s="289"/>
      <c r="G286" s="289"/>
      <c r="H286" s="289"/>
      <c r="I286" s="289"/>
      <c r="J286" s="289"/>
      <c r="K286" s="289"/>
      <c r="L286" s="289"/>
      <c r="M286" s="289"/>
      <c r="N286" s="289"/>
      <c r="O286" s="289"/>
      <c r="P286" s="289"/>
      <c r="Q286" s="289"/>
      <c r="R286" s="289"/>
      <c r="S286" s="289"/>
      <c r="T286" s="289"/>
      <c r="U286" s="289"/>
      <c r="V286" s="289"/>
      <c r="W286" s="289"/>
      <c r="X286" s="289"/>
      <c r="Y286" s="289"/>
      <c r="Z286" s="289"/>
      <c r="AA286" s="289"/>
      <c r="AB286" s="289"/>
      <c r="AC286" s="289"/>
      <c r="AD286" s="289"/>
      <c r="AE286" s="289"/>
      <c r="AF286" s="289"/>
      <c r="AG286" s="289"/>
      <c r="AH286" s="289"/>
      <c r="AI286" s="289"/>
      <c r="AJ286" s="289"/>
      <c r="AK286" s="289"/>
      <c r="AL286" s="289"/>
      <c r="AM286" s="289"/>
      <c r="AN286" s="289"/>
      <c r="AO286" s="289"/>
      <c r="AP286" s="289"/>
      <c r="AQ286" s="289"/>
      <c r="AR286" s="289"/>
      <c r="AS286" s="289"/>
      <c r="AT286" s="289"/>
      <c r="AU286" s="289"/>
      <c r="AV286" s="289"/>
      <c r="AW286" s="289"/>
      <c r="AX286" s="289"/>
      <c r="AY286" s="289"/>
      <c r="AZ286" s="289"/>
      <c r="BA286" s="289"/>
      <c r="BB286" s="289"/>
      <c r="BC286" s="289"/>
      <c r="BD286" s="289"/>
      <c r="BE286" s="289"/>
      <c r="BF286" s="289"/>
      <c r="BG286" s="289"/>
      <c r="BH286" s="289"/>
      <c r="BI286" s="289"/>
      <c r="BJ286" s="289"/>
      <c r="BK286" s="289"/>
      <c r="BL286" s="289"/>
      <c r="BM286" s="289"/>
      <c r="BN286" s="289"/>
      <c r="BO286" s="289"/>
      <c r="BP286" s="289"/>
      <c r="BQ286" s="289"/>
      <c r="BR286" s="289"/>
      <c r="BS286" s="289"/>
      <c r="BT286" s="289"/>
      <c r="BU286" s="289"/>
      <c r="BV286" s="289"/>
    </row>
    <row r="287" spans="2:74" x14ac:dyDescent="0.2">
      <c r="B287" s="210"/>
      <c r="C287" s="210"/>
      <c r="D287" s="210"/>
      <c r="E287" s="288"/>
      <c r="F287" s="289"/>
      <c r="G287" s="289"/>
      <c r="H287" s="289"/>
      <c r="I287" s="289"/>
      <c r="J287" s="289"/>
      <c r="K287" s="289"/>
      <c r="L287" s="289"/>
      <c r="M287" s="289"/>
      <c r="N287" s="289"/>
      <c r="O287" s="289"/>
      <c r="P287" s="289"/>
      <c r="Q287" s="289"/>
      <c r="R287" s="289"/>
      <c r="S287" s="289"/>
      <c r="T287" s="289"/>
      <c r="U287" s="289"/>
      <c r="V287" s="289"/>
      <c r="W287" s="289"/>
      <c r="X287" s="289"/>
      <c r="Y287" s="289"/>
      <c r="Z287" s="289"/>
      <c r="AA287" s="289"/>
      <c r="AB287" s="289"/>
      <c r="AC287" s="289"/>
      <c r="AD287" s="289"/>
      <c r="AE287" s="289"/>
      <c r="AF287" s="289"/>
      <c r="AG287" s="289"/>
      <c r="AH287" s="289"/>
      <c r="AI287" s="289"/>
      <c r="AJ287" s="289"/>
      <c r="AK287" s="289"/>
      <c r="AL287" s="289"/>
      <c r="AM287" s="289"/>
      <c r="AN287" s="289"/>
      <c r="AO287" s="289"/>
      <c r="AP287" s="289"/>
      <c r="AQ287" s="289"/>
      <c r="AR287" s="289"/>
      <c r="AS287" s="289"/>
      <c r="AT287" s="289"/>
      <c r="AU287" s="289"/>
      <c r="AV287" s="289"/>
      <c r="AW287" s="289"/>
      <c r="AX287" s="289"/>
      <c r="AY287" s="289"/>
      <c r="AZ287" s="289"/>
      <c r="BA287" s="289"/>
      <c r="BB287" s="289"/>
      <c r="BC287" s="289"/>
      <c r="BD287" s="289"/>
      <c r="BE287" s="289"/>
      <c r="BF287" s="289"/>
      <c r="BG287" s="289"/>
      <c r="BH287" s="289"/>
      <c r="BI287" s="289"/>
      <c r="BJ287" s="289"/>
      <c r="BK287" s="289"/>
      <c r="BL287" s="289"/>
      <c r="BM287" s="289"/>
      <c r="BN287" s="289"/>
      <c r="BO287" s="289"/>
      <c r="BP287" s="289"/>
      <c r="BQ287" s="289"/>
      <c r="BR287" s="289"/>
      <c r="BS287" s="289"/>
      <c r="BT287" s="289"/>
      <c r="BU287" s="289"/>
      <c r="BV287" s="289"/>
    </row>
    <row r="288" spans="2:74" x14ac:dyDescent="0.2">
      <c r="B288" s="210"/>
      <c r="C288" s="203"/>
      <c r="D288" s="203"/>
      <c r="E288" s="288"/>
      <c r="F288" s="289"/>
      <c r="G288" s="289"/>
      <c r="H288" s="289"/>
      <c r="I288" s="289"/>
      <c r="J288" s="289"/>
      <c r="K288" s="289"/>
      <c r="L288" s="289"/>
      <c r="M288" s="289"/>
      <c r="N288" s="289"/>
      <c r="O288" s="289"/>
      <c r="P288" s="289"/>
      <c r="Q288" s="289"/>
      <c r="R288" s="289"/>
      <c r="S288" s="289"/>
      <c r="T288" s="289"/>
      <c r="U288" s="289"/>
      <c r="V288" s="289"/>
      <c r="W288" s="289"/>
      <c r="X288" s="289"/>
      <c r="Y288" s="289"/>
      <c r="Z288" s="289"/>
      <c r="AA288" s="289"/>
      <c r="AB288" s="289"/>
      <c r="AC288" s="289"/>
      <c r="AD288" s="289"/>
      <c r="AE288" s="289"/>
      <c r="AF288" s="289"/>
      <c r="AG288" s="289"/>
      <c r="AH288" s="289"/>
      <c r="AI288" s="289"/>
      <c r="AJ288" s="289"/>
      <c r="AK288" s="289"/>
      <c r="AL288" s="289"/>
      <c r="AM288" s="289"/>
      <c r="AN288" s="289"/>
      <c r="AO288" s="289"/>
      <c r="AP288" s="289"/>
      <c r="AQ288" s="289"/>
      <c r="AR288" s="289"/>
      <c r="AS288" s="289"/>
      <c r="AT288" s="289"/>
      <c r="AU288" s="289"/>
      <c r="AV288" s="289"/>
      <c r="AW288" s="289"/>
      <c r="AX288" s="289"/>
      <c r="AY288" s="289"/>
      <c r="AZ288" s="289"/>
      <c r="BA288" s="289"/>
      <c r="BB288" s="289"/>
      <c r="BC288" s="289"/>
      <c r="BD288" s="289"/>
      <c r="BE288" s="289"/>
      <c r="BF288" s="289"/>
      <c r="BG288" s="289"/>
      <c r="BH288" s="289"/>
      <c r="BI288" s="289"/>
      <c r="BJ288" s="289"/>
      <c r="BK288" s="289"/>
      <c r="BL288" s="289"/>
      <c r="BM288" s="289"/>
      <c r="BN288" s="289"/>
      <c r="BO288" s="289"/>
      <c r="BP288" s="289"/>
      <c r="BQ288" s="289"/>
      <c r="BR288" s="289"/>
      <c r="BS288" s="289"/>
      <c r="BT288" s="289"/>
      <c r="BU288" s="289"/>
      <c r="BV288" s="289"/>
    </row>
    <row r="289" spans="2:74" x14ac:dyDescent="0.2">
      <c r="B289" s="210"/>
      <c r="C289" s="203"/>
      <c r="D289" s="203"/>
      <c r="E289" s="288"/>
      <c r="F289" s="289"/>
      <c r="G289" s="289"/>
      <c r="H289" s="289"/>
      <c r="I289" s="289"/>
      <c r="J289" s="289"/>
      <c r="K289" s="289"/>
      <c r="L289" s="289"/>
      <c r="M289" s="289"/>
      <c r="N289" s="289"/>
      <c r="O289" s="289"/>
      <c r="P289" s="289"/>
      <c r="Q289" s="289"/>
      <c r="R289" s="289"/>
      <c r="S289" s="289"/>
      <c r="T289" s="289"/>
      <c r="U289" s="289"/>
      <c r="V289" s="289"/>
      <c r="W289" s="289"/>
      <c r="X289" s="289"/>
      <c r="Y289" s="289"/>
      <c r="Z289" s="289"/>
      <c r="AA289" s="289"/>
      <c r="AB289" s="289"/>
      <c r="AC289" s="289"/>
      <c r="AD289" s="289"/>
      <c r="AE289" s="289"/>
      <c r="AF289" s="289"/>
      <c r="AG289" s="289"/>
      <c r="AH289" s="289"/>
      <c r="AI289" s="289"/>
      <c r="AJ289" s="289"/>
      <c r="AK289" s="289"/>
      <c r="AL289" s="289"/>
      <c r="AM289" s="289"/>
      <c r="AN289" s="289"/>
      <c r="AO289" s="289"/>
      <c r="AP289" s="289"/>
      <c r="AQ289" s="289"/>
      <c r="AR289" s="289"/>
      <c r="AS289" s="289"/>
      <c r="AT289" s="289"/>
      <c r="AU289" s="289"/>
      <c r="AV289" s="289"/>
      <c r="AW289" s="289"/>
      <c r="AX289" s="289"/>
      <c r="AY289" s="289"/>
      <c r="AZ289" s="289"/>
      <c r="BA289" s="289"/>
      <c r="BB289" s="289"/>
      <c r="BC289" s="289"/>
      <c r="BD289" s="289"/>
      <c r="BE289" s="289"/>
      <c r="BF289" s="289"/>
      <c r="BG289" s="289"/>
      <c r="BH289" s="289"/>
      <c r="BI289" s="289"/>
      <c r="BJ289" s="289"/>
      <c r="BK289" s="289"/>
      <c r="BL289" s="289"/>
      <c r="BM289" s="289"/>
      <c r="BN289" s="289"/>
      <c r="BO289" s="289"/>
      <c r="BP289" s="289"/>
      <c r="BQ289" s="289"/>
      <c r="BR289" s="289"/>
      <c r="BS289" s="289"/>
      <c r="BT289" s="289"/>
      <c r="BU289" s="289"/>
      <c r="BV289" s="289"/>
    </row>
    <row r="290" spans="2:74" x14ac:dyDescent="0.2">
      <c r="B290" s="210"/>
      <c r="C290" s="203"/>
      <c r="D290" s="203"/>
      <c r="E290" s="288"/>
      <c r="F290" s="289"/>
      <c r="G290" s="289"/>
      <c r="H290" s="289"/>
      <c r="I290" s="289"/>
      <c r="J290" s="289"/>
      <c r="K290" s="289"/>
      <c r="L290" s="289"/>
      <c r="M290" s="289"/>
      <c r="N290" s="289"/>
      <c r="O290" s="289"/>
      <c r="P290" s="289"/>
      <c r="Q290" s="289"/>
      <c r="R290" s="289"/>
      <c r="S290" s="289"/>
      <c r="T290" s="289"/>
      <c r="U290" s="289"/>
      <c r="V290" s="289"/>
      <c r="W290" s="289"/>
      <c r="X290" s="289"/>
      <c r="Y290" s="289"/>
      <c r="Z290" s="289"/>
      <c r="AA290" s="289"/>
      <c r="AB290" s="289"/>
      <c r="AC290" s="289"/>
      <c r="AD290" s="289"/>
      <c r="AE290" s="289"/>
      <c r="AF290" s="289"/>
      <c r="AG290" s="289"/>
      <c r="AH290" s="289"/>
      <c r="AI290" s="289"/>
      <c r="AJ290" s="289"/>
      <c r="AK290" s="289"/>
      <c r="AL290" s="289"/>
      <c r="AM290" s="289"/>
      <c r="AN290" s="289"/>
      <c r="AO290" s="289"/>
      <c r="AP290" s="289"/>
      <c r="AQ290" s="289"/>
      <c r="AR290" s="289"/>
      <c r="AS290" s="289"/>
      <c r="AT290" s="289"/>
      <c r="AU290" s="289"/>
      <c r="AV290" s="289"/>
      <c r="AW290" s="289"/>
      <c r="AX290" s="289"/>
      <c r="AY290" s="289"/>
      <c r="AZ290" s="289"/>
      <c r="BA290" s="289"/>
      <c r="BB290" s="289"/>
      <c r="BC290" s="289"/>
      <c r="BD290" s="289"/>
      <c r="BE290" s="289"/>
      <c r="BF290" s="289"/>
      <c r="BG290" s="289"/>
      <c r="BH290" s="289"/>
      <c r="BI290" s="289"/>
      <c r="BJ290" s="289"/>
      <c r="BK290" s="289"/>
      <c r="BL290" s="289"/>
      <c r="BM290" s="289"/>
      <c r="BN290" s="289"/>
      <c r="BO290" s="289"/>
      <c r="BP290" s="289"/>
      <c r="BQ290" s="289"/>
      <c r="BR290" s="289"/>
      <c r="BS290" s="289"/>
      <c r="BT290" s="289"/>
      <c r="BU290" s="289"/>
      <c r="BV290" s="289"/>
    </row>
  </sheetData>
  <mergeCells count="15">
    <mergeCell ref="E2:BV2"/>
    <mergeCell ref="E3:I3"/>
    <mergeCell ref="J3:N3"/>
    <mergeCell ref="O3:S3"/>
    <mergeCell ref="T3:X3"/>
    <mergeCell ref="Y3:AC3"/>
    <mergeCell ref="AD3:AH3"/>
    <mergeCell ref="AI3:AM3"/>
    <mergeCell ref="AN3:AR3"/>
    <mergeCell ref="AS3:AW3"/>
    <mergeCell ref="AX3:BB3"/>
    <mergeCell ref="BC3:BG3"/>
    <mergeCell ref="BH3:BL3"/>
    <mergeCell ref="BM3:BQ3"/>
    <mergeCell ref="BR3:BV3"/>
  </mergeCells>
  <pageMargins left="0.7" right="0.7" top="0.75" bottom="0.75" header="0.3" footer="0.3"/>
  <pageSetup paperSize="9" scale="3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ET147"/>
  <sheetViews>
    <sheetView view="pageBreakPreview" topLeftCell="A19" zoomScale="98" zoomScaleNormal="100" zoomScaleSheetLayoutView="98" workbookViewId="0">
      <selection activeCell="CC13" sqref="CC13"/>
    </sheetView>
  </sheetViews>
  <sheetFormatPr defaultColWidth="10" defaultRowHeight="12.75" x14ac:dyDescent="0.2"/>
  <cols>
    <col min="1" max="1" width="1.5703125" style="1" customWidth="1"/>
    <col min="2" max="2" width="1.42578125" style="1" customWidth="1"/>
    <col min="3" max="3" width="57.5703125" style="1" customWidth="1"/>
    <col min="4" max="4" width="2.7109375" style="1" customWidth="1"/>
    <col min="5" max="5" width="8.7109375" style="1" hidden="1" customWidth="1"/>
    <col min="6" max="7" width="1" style="1" customWidth="1"/>
    <col min="8" max="8" width="19.7109375" style="1" customWidth="1"/>
    <col min="9" max="10" width="1" style="1" customWidth="1"/>
    <col min="11" max="11" width="2" style="1" customWidth="1"/>
    <col min="12" max="12" width="1" style="1" customWidth="1"/>
    <col min="13" max="13" width="17.85546875" style="1" customWidth="1"/>
    <col min="14" max="17" width="1" style="1" customWidth="1"/>
    <col min="18" max="18" width="17.85546875" style="1" customWidth="1"/>
    <col min="19" max="22" width="1" style="1" customWidth="1"/>
    <col min="23" max="23" width="17.85546875" style="1" customWidth="1"/>
    <col min="24" max="27" width="1" style="1" customWidth="1"/>
    <col min="28" max="28" width="17.85546875" style="1" customWidth="1"/>
    <col min="29" max="32" width="1" style="1" customWidth="1"/>
    <col min="33" max="33" width="17.85546875" style="1" customWidth="1"/>
    <col min="34" max="37" width="1" style="1" customWidth="1"/>
    <col min="38" max="38" width="17.85546875" style="1" customWidth="1"/>
    <col min="39" max="42" width="1" style="1" customWidth="1"/>
    <col min="43" max="43" width="17.85546875" style="1" customWidth="1"/>
    <col min="44" max="47" width="1" style="1" customWidth="1"/>
    <col min="48" max="48" width="17.85546875" style="1" customWidth="1"/>
    <col min="49" max="52" width="1" style="1" customWidth="1"/>
    <col min="53" max="53" width="17.85546875" style="1" customWidth="1"/>
    <col min="54" max="57" width="1" style="1" customWidth="1"/>
    <col min="58" max="58" width="17.85546875" style="1" customWidth="1"/>
    <col min="59" max="60" width="1" style="1" customWidth="1"/>
    <col min="61" max="62" width="1" style="1" hidden="1" customWidth="1"/>
    <col min="63" max="63" width="17.85546875" style="1" hidden="1" customWidth="1"/>
    <col min="64" max="67" width="1" style="1" hidden="1" customWidth="1"/>
    <col min="68" max="68" width="17.85546875" style="1" hidden="1" customWidth="1"/>
    <col min="69" max="70" width="1" style="1" hidden="1" customWidth="1"/>
    <col min="71" max="72" width="1" style="1" customWidth="1"/>
    <col min="73" max="73" width="17.85546875" style="1" customWidth="1"/>
    <col min="74" max="75" width="1" style="1" customWidth="1"/>
    <col min="76" max="76" width="1.5703125" style="1" customWidth="1"/>
    <col min="77" max="77" width="0.7109375" style="1" customWidth="1"/>
    <col min="78" max="78" width="1.85546875" style="1" customWidth="1"/>
    <col min="79" max="79" width="10.7109375" style="1" customWidth="1"/>
    <col min="80" max="80" width="13" style="1" hidden="1" customWidth="1"/>
    <col min="81" max="186" width="10" style="1"/>
    <col min="187" max="187" width="1.5703125" style="1" customWidth="1"/>
    <col min="188" max="188" width="1.42578125" style="1" customWidth="1"/>
    <col min="189" max="189" width="57.5703125" style="1" customWidth="1"/>
    <col min="190" max="190" width="2.7109375" style="1" customWidth="1"/>
    <col min="191" max="191" width="0" style="1" hidden="1" customWidth="1"/>
    <col min="192" max="193" width="1" style="1" customWidth="1"/>
    <col min="194" max="194" width="19.7109375" style="1" customWidth="1"/>
    <col min="195" max="196" width="1" style="1" customWidth="1"/>
    <col min="197" max="241" width="0" style="1" hidden="1" customWidth="1"/>
    <col min="242" max="243" width="1" style="1" customWidth="1"/>
    <col min="244" max="244" width="17.85546875" style="1" customWidth="1"/>
    <col min="245" max="246" width="1" style="1" customWidth="1"/>
    <col min="247" max="256" width="0" style="1" hidden="1" customWidth="1"/>
    <col min="257" max="258" width="1" style="1" customWidth="1"/>
    <col min="259" max="259" width="17.85546875" style="1" customWidth="1"/>
    <col min="260" max="263" width="1" style="1" customWidth="1"/>
    <col min="264" max="264" width="17.85546875" style="1" customWidth="1"/>
    <col min="265" max="266" width="1" style="1" customWidth="1"/>
    <col min="267" max="285" width="0" style="1" hidden="1" customWidth="1"/>
    <col min="286" max="286" width="1" style="1" customWidth="1"/>
    <col min="287" max="311" width="0" style="1" hidden="1" customWidth="1"/>
    <col min="312" max="313" width="1" style="1" customWidth="1"/>
    <col min="314" max="314" width="17.85546875" style="1" customWidth="1"/>
    <col min="315" max="316" width="1" style="1" customWidth="1"/>
    <col min="317" max="326" width="0" style="1" hidden="1" customWidth="1"/>
    <col min="327" max="328" width="1" style="1" customWidth="1"/>
    <col min="329" max="329" width="17.85546875" style="1" customWidth="1"/>
    <col min="330" max="331" width="1" style="1" customWidth="1"/>
    <col min="332" max="332" width="1.5703125" style="1" customWidth="1"/>
    <col min="333" max="333" width="0.7109375" style="1" customWidth="1"/>
    <col min="334" max="334" width="1.85546875" style="1" customWidth="1"/>
    <col min="335" max="335" width="10.7109375" style="1" customWidth="1"/>
    <col min="336" max="336" width="0" style="1" hidden="1" customWidth="1"/>
    <col min="337" max="442" width="10" style="1"/>
    <col min="443" max="443" width="1.5703125" style="1" customWidth="1"/>
    <col min="444" max="444" width="1.42578125" style="1" customWidth="1"/>
    <col min="445" max="445" width="57.5703125" style="1" customWidth="1"/>
    <col min="446" max="446" width="2.7109375" style="1" customWidth="1"/>
    <col min="447" max="447" width="0" style="1" hidden="1" customWidth="1"/>
    <col min="448" max="449" width="1" style="1" customWidth="1"/>
    <col min="450" max="450" width="19.7109375" style="1" customWidth="1"/>
    <col min="451" max="452" width="1" style="1" customWidth="1"/>
    <col min="453" max="497" width="0" style="1" hidden="1" customWidth="1"/>
    <col min="498" max="499" width="1" style="1" customWidth="1"/>
    <col min="500" max="500" width="17.85546875" style="1" customWidth="1"/>
    <col min="501" max="502" width="1" style="1" customWidth="1"/>
    <col min="503" max="512" width="0" style="1" hidden="1" customWidth="1"/>
    <col min="513" max="514" width="1" style="1" customWidth="1"/>
    <col min="515" max="515" width="17.85546875" style="1" customWidth="1"/>
    <col min="516" max="519" width="1" style="1" customWidth="1"/>
    <col min="520" max="520" width="17.85546875" style="1" customWidth="1"/>
    <col min="521" max="522" width="1" style="1" customWidth="1"/>
    <col min="523" max="541" width="0" style="1" hidden="1" customWidth="1"/>
    <col min="542" max="542" width="1" style="1" customWidth="1"/>
    <col min="543" max="567" width="0" style="1" hidden="1" customWidth="1"/>
    <col min="568" max="569" width="1" style="1" customWidth="1"/>
    <col min="570" max="570" width="17.85546875" style="1" customWidth="1"/>
    <col min="571" max="572" width="1" style="1" customWidth="1"/>
    <col min="573" max="582" width="0" style="1" hidden="1" customWidth="1"/>
    <col min="583" max="584" width="1" style="1" customWidth="1"/>
    <col min="585" max="585" width="17.85546875" style="1" customWidth="1"/>
    <col min="586" max="587" width="1" style="1" customWidth="1"/>
    <col min="588" max="588" width="1.5703125" style="1" customWidth="1"/>
    <col min="589" max="589" width="0.7109375" style="1" customWidth="1"/>
    <col min="590" max="590" width="1.85546875" style="1" customWidth="1"/>
    <col min="591" max="591" width="10.7109375" style="1" customWidth="1"/>
    <col min="592" max="592" width="0" style="1" hidden="1" customWidth="1"/>
    <col min="593" max="698" width="10" style="1"/>
    <col min="699" max="699" width="1.5703125" style="1" customWidth="1"/>
    <col min="700" max="700" width="1.42578125" style="1" customWidth="1"/>
    <col min="701" max="701" width="57.5703125" style="1" customWidth="1"/>
    <col min="702" max="702" width="2.7109375" style="1" customWidth="1"/>
    <col min="703" max="703" width="0" style="1" hidden="1" customWidth="1"/>
    <col min="704" max="705" width="1" style="1" customWidth="1"/>
    <col min="706" max="706" width="19.7109375" style="1" customWidth="1"/>
    <col min="707" max="708" width="1" style="1" customWidth="1"/>
    <col min="709" max="753" width="0" style="1" hidden="1" customWidth="1"/>
    <col min="754" max="755" width="1" style="1" customWidth="1"/>
    <col min="756" max="756" width="17.85546875" style="1" customWidth="1"/>
    <col min="757" max="758" width="1" style="1" customWidth="1"/>
    <col min="759" max="768" width="0" style="1" hidden="1" customWidth="1"/>
    <col min="769" max="770" width="1" style="1" customWidth="1"/>
    <col min="771" max="771" width="17.85546875" style="1" customWidth="1"/>
    <col min="772" max="775" width="1" style="1" customWidth="1"/>
    <col min="776" max="776" width="17.85546875" style="1" customWidth="1"/>
    <col min="777" max="778" width="1" style="1" customWidth="1"/>
    <col min="779" max="797" width="0" style="1" hidden="1" customWidth="1"/>
    <col min="798" max="798" width="1" style="1" customWidth="1"/>
    <col min="799" max="823" width="0" style="1" hidden="1" customWidth="1"/>
    <col min="824" max="825" width="1" style="1" customWidth="1"/>
    <col min="826" max="826" width="17.85546875" style="1" customWidth="1"/>
    <col min="827" max="828" width="1" style="1" customWidth="1"/>
    <col min="829" max="838" width="0" style="1" hidden="1" customWidth="1"/>
    <col min="839" max="840" width="1" style="1" customWidth="1"/>
    <col min="841" max="841" width="17.85546875" style="1" customWidth="1"/>
    <col min="842" max="843" width="1" style="1" customWidth="1"/>
    <col min="844" max="844" width="1.5703125" style="1" customWidth="1"/>
    <col min="845" max="845" width="0.7109375" style="1" customWidth="1"/>
    <col min="846" max="846" width="1.85546875" style="1" customWidth="1"/>
    <col min="847" max="847" width="10.7109375" style="1" customWidth="1"/>
    <col min="848" max="848" width="0" style="1" hidden="1" customWidth="1"/>
    <col min="849" max="954" width="10" style="1"/>
    <col min="955" max="955" width="1.5703125" style="1" customWidth="1"/>
    <col min="956" max="956" width="1.42578125" style="1" customWidth="1"/>
    <col min="957" max="957" width="57.5703125" style="1" customWidth="1"/>
    <col min="958" max="958" width="2.7109375" style="1" customWidth="1"/>
    <col min="959" max="959" width="0" style="1" hidden="1" customWidth="1"/>
    <col min="960" max="961" width="1" style="1" customWidth="1"/>
    <col min="962" max="962" width="19.7109375" style="1" customWidth="1"/>
    <col min="963" max="964" width="1" style="1" customWidth="1"/>
    <col min="965" max="1009" width="0" style="1" hidden="1" customWidth="1"/>
    <col min="1010" max="1011" width="1" style="1" customWidth="1"/>
    <col min="1012" max="1012" width="17.85546875" style="1" customWidth="1"/>
    <col min="1013" max="1014" width="1" style="1" customWidth="1"/>
    <col min="1015" max="1024" width="0" style="1" hidden="1" customWidth="1"/>
    <col min="1025" max="1026" width="1" style="1" customWidth="1"/>
    <col min="1027" max="1027" width="17.85546875" style="1" customWidth="1"/>
    <col min="1028" max="1031" width="1" style="1" customWidth="1"/>
    <col min="1032" max="1032" width="17.85546875" style="1" customWidth="1"/>
    <col min="1033" max="1034" width="1" style="1" customWidth="1"/>
    <col min="1035" max="1053" width="0" style="1" hidden="1" customWidth="1"/>
    <col min="1054" max="1054" width="1" style="1" customWidth="1"/>
    <col min="1055" max="1079" width="0" style="1" hidden="1" customWidth="1"/>
    <col min="1080" max="1081" width="1" style="1" customWidth="1"/>
    <col min="1082" max="1082" width="17.85546875" style="1" customWidth="1"/>
    <col min="1083" max="1084" width="1" style="1" customWidth="1"/>
    <col min="1085" max="1094" width="0" style="1" hidden="1" customWidth="1"/>
    <col min="1095" max="1096" width="1" style="1" customWidth="1"/>
    <col min="1097" max="1097" width="17.85546875" style="1" customWidth="1"/>
    <col min="1098" max="1099" width="1" style="1" customWidth="1"/>
    <col min="1100" max="1100" width="1.5703125" style="1" customWidth="1"/>
    <col min="1101" max="1101" width="0.7109375" style="1" customWidth="1"/>
    <col min="1102" max="1102" width="1.85546875" style="1" customWidth="1"/>
    <col min="1103" max="1103" width="10.7109375" style="1" customWidth="1"/>
    <col min="1104" max="1104" width="0" style="1" hidden="1" customWidth="1"/>
    <col min="1105" max="1210" width="10" style="1"/>
    <col min="1211" max="1211" width="1.5703125" style="1" customWidth="1"/>
    <col min="1212" max="1212" width="1.42578125" style="1" customWidth="1"/>
    <col min="1213" max="1213" width="57.5703125" style="1" customWidth="1"/>
    <col min="1214" max="1214" width="2.7109375" style="1" customWidth="1"/>
    <col min="1215" max="1215" width="0" style="1" hidden="1" customWidth="1"/>
    <col min="1216" max="1217" width="1" style="1" customWidth="1"/>
    <col min="1218" max="1218" width="19.7109375" style="1" customWidth="1"/>
    <col min="1219" max="1220" width="1" style="1" customWidth="1"/>
    <col min="1221" max="1265" width="0" style="1" hidden="1" customWidth="1"/>
    <col min="1266" max="1267" width="1" style="1" customWidth="1"/>
    <col min="1268" max="1268" width="17.85546875" style="1" customWidth="1"/>
    <col min="1269" max="1270" width="1" style="1" customWidth="1"/>
    <col min="1271" max="1280" width="0" style="1" hidden="1" customWidth="1"/>
    <col min="1281" max="1282" width="1" style="1" customWidth="1"/>
    <col min="1283" max="1283" width="17.85546875" style="1" customWidth="1"/>
    <col min="1284" max="1287" width="1" style="1" customWidth="1"/>
    <col min="1288" max="1288" width="17.85546875" style="1" customWidth="1"/>
    <col min="1289" max="1290" width="1" style="1" customWidth="1"/>
    <col min="1291" max="1309" width="0" style="1" hidden="1" customWidth="1"/>
    <col min="1310" max="1310" width="1" style="1" customWidth="1"/>
    <col min="1311" max="1335" width="0" style="1" hidden="1" customWidth="1"/>
    <col min="1336" max="1337" width="1" style="1" customWidth="1"/>
    <col min="1338" max="1338" width="17.85546875" style="1" customWidth="1"/>
    <col min="1339" max="1340" width="1" style="1" customWidth="1"/>
    <col min="1341" max="1350" width="0" style="1" hidden="1" customWidth="1"/>
    <col min="1351" max="1352" width="1" style="1" customWidth="1"/>
    <col min="1353" max="1353" width="17.85546875" style="1" customWidth="1"/>
    <col min="1354" max="1355" width="1" style="1" customWidth="1"/>
    <col min="1356" max="1356" width="1.5703125" style="1" customWidth="1"/>
    <col min="1357" max="1357" width="0.7109375" style="1" customWidth="1"/>
    <col min="1358" max="1358" width="1.85546875" style="1" customWidth="1"/>
    <col min="1359" max="1359" width="10.7109375" style="1" customWidth="1"/>
    <col min="1360" max="1360" width="0" style="1" hidden="1" customWidth="1"/>
    <col min="1361" max="1466" width="10" style="1"/>
    <col min="1467" max="1467" width="1.5703125" style="1" customWidth="1"/>
    <col min="1468" max="1468" width="1.42578125" style="1" customWidth="1"/>
    <col min="1469" max="1469" width="57.5703125" style="1" customWidth="1"/>
    <col min="1470" max="1470" width="2.7109375" style="1" customWidth="1"/>
    <col min="1471" max="1471" width="0" style="1" hidden="1" customWidth="1"/>
    <col min="1472" max="1473" width="1" style="1" customWidth="1"/>
    <col min="1474" max="1474" width="19.7109375" style="1" customWidth="1"/>
    <col min="1475" max="1476" width="1" style="1" customWidth="1"/>
    <col min="1477" max="1521" width="0" style="1" hidden="1" customWidth="1"/>
    <col min="1522" max="1523" width="1" style="1" customWidth="1"/>
    <col min="1524" max="1524" width="17.85546875" style="1" customWidth="1"/>
    <col min="1525" max="1526" width="1" style="1" customWidth="1"/>
    <col min="1527" max="1536" width="0" style="1" hidden="1" customWidth="1"/>
    <col min="1537" max="1538" width="1" style="1" customWidth="1"/>
    <col min="1539" max="1539" width="17.85546875" style="1" customWidth="1"/>
    <col min="1540" max="1543" width="1" style="1" customWidth="1"/>
    <col min="1544" max="1544" width="17.85546875" style="1" customWidth="1"/>
    <col min="1545" max="1546" width="1" style="1" customWidth="1"/>
    <col min="1547" max="1565" width="0" style="1" hidden="1" customWidth="1"/>
    <col min="1566" max="1566" width="1" style="1" customWidth="1"/>
    <col min="1567" max="1591" width="0" style="1" hidden="1" customWidth="1"/>
    <col min="1592" max="1593" width="1" style="1" customWidth="1"/>
    <col min="1594" max="1594" width="17.85546875" style="1" customWidth="1"/>
    <col min="1595" max="1596" width="1" style="1" customWidth="1"/>
    <col min="1597" max="1606" width="0" style="1" hidden="1" customWidth="1"/>
    <col min="1607" max="1608" width="1" style="1" customWidth="1"/>
    <col min="1609" max="1609" width="17.85546875" style="1" customWidth="1"/>
    <col min="1610" max="1611" width="1" style="1" customWidth="1"/>
    <col min="1612" max="1612" width="1.5703125" style="1" customWidth="1"/>
    <col min="1613" max="1613" width="0.7109375" style="1" customWidth="1"/>
    <col min="1614" max="1614" width="1.85546875" style="1" customWidth="1"/>
    <col min="1615" max="1615" width="10.7109375" style="1" customWidth="1"/>
    <col min="1616" max="1616" width="0" style="1" hidden="1" customWidth="1"/>
    <col min="1617" max="1722" width="10" style="1"/>
    <col min="1723" max="1723" width="1.5703125" style="1" customWidth="1"/>
    <col min="1724" max="1724" width="1.42578125" style="1" customWidth="1"/>
    <col min="1725" max="1725" width="57.5703125" style="1" customWidth="1"/>
    <col min="1726" max="1726" width="2.7109375" style="1" customWidth="1"/>
    <col min="1727" max="1727" width="0" style="1" hidden="1" customWidth="1"/>
    <col min="1728" max="1729" width="1" style="1" customWidth="1"/>
    <col min="1730" max="1730" width="19.7109375" style="1" customWidth="1"/>
    <col min="1731" max="1732" width="1" style="1" customWidth="1"/>
    <col min="1733" max="1777" width="0" style="1" hidden="1" customWidth="1"/>
    <col min="1778" max="1779" width="1" style="1" customWidth="1"/>
    <col min="1780" max="1780" width="17.85546875" style="1" customWidth="1"/>
    <col min="1781" max="1782" width="1" style="1" customWidth="1"/>
    <col min="1783" max="1792" width="0" style="1" hidden="1" customWidth="1"/>
    <col min="1793" max="1794" width="1" style="1" customWidth="1"/>
    <col min="1795" max="1795" width="17.85546875" style="1" customWidth="1"/>
    <col min="1796" max="1799" width="1" style="1" customWidth="1"/>
    <col min="1800" max="1800" width="17.85546875" style="1" customWidth="1"/>
    <col min="1801" max="1802" width="1" style="1" customWidth="1"/>
    <col min="1803" max="1821" width="0" style="1" hidden="1" customWidth="1"/>
    <col min="1822" max="1822" width="1" style="1" customWidth="1"/>
    <col min="1823" max="1847" width="0" style="1" hidden="1" customWidth="1"/>
    <col min="1848" max="1849" width="1" style="1" customWidth="1"/>
    <col min="1850" max="1850" width="17.85546875" style="1" customWidth="1"/>
    <col min="1851" max="1852" width="1" style="1" customWidth="1"/>
    <col min="1853" max="1862" width="0" style="1" hidden="1" customWidth="1"/>
    <col min="1863" max="1864" width="1" style="1" customWidth="1"/>
    <col min="1865" max="1865" width="17.85546875" style="1" customWidth="1"/>
    <col min="1866" max="1867" width="1" style="1" customWidth="1"/>
    <col min="1868" max="1868" width="1.5703125" style="1" customWidth="1"/>
    <col min="1869" max="1869" width="0.7109375" style="1" customWidth="1"/>
    <col min="1870" max="1870" width="1.85546875" style="1" customWidth="1"/>
    <col min="1871" max="1871" width="10.7109375" style="1" customWidth="1"/>
    <col min="1872" max="1872" width="0" style="1" hidden="1" customWidth="1"/>
    <col min="1873" max="1978" width="10" style="1"/>
    <col min="1979" max="1979" width="1.5703125" style="1" customWidth="1"/>
    <col min="1980" max="1980" width="1.42578125" style="1" customWidth="1"/>
    <col min="1981" max="1981" width="57.5703125" style="1" customWidth="1"/>
    <col min="1982" max="1982" width="2.7109375" style="1" customWidth="1"/>
    <col min="1983" max="1983" width="0" style="1" hidden="1" customWidth="1"/>
    <col min="1984" max="1985" width="1" style="1" customWidth="1"/>
    <col min="1986" max="1986" width="19.7109375" style="1" customWidth="1"/>
    <col min="1987" max="1988" width="1" style="1" customWidth="1"/>
    <col min="1989" max="2033" width="0" style="1" hidden="1" customWidth="1"/>
    <col min="2034" max="2035" width="1" style="1" customWidth="1"/>
    <col min="2036" max="2036" width="17.85546875" style="1" customWidth="1"/>
    <col min="2037" max="2038" width="1" style="1" customWidth="1"/>
    <col min="2039" max="2048" width="0" style="1" hidden="1" customWidth="1"/>
    <col min="2049" max="2050" width="1" style="1" customWidth="1"/>
    <col min="2051" max="2051" width="17.85546875" style="1" customWidth="1"/>
    <col min="2052" max="2055" width="1" style="1" customWidth="1"/>
    <col min="2056" max="2056" width="17.85546875" style="1" customWidth="1"/>
    <col min="2057" max="2058" width="1" style="1" customWidth="1"/>
    <col min="2059" max="2077" width="0" style="1" hidden="1" customWidth="1"/>
    <col min="2078" max="2078" width="1" style="1" customWidth="1"/>
    <col min="2079" max="2103" width="0" style="1" hidden="1" customWidth="1"/>
    <col min="2104" max="2105" width="1" style="1" customWidth="1"/>
    <col min="2106" max="2106" width="17.85546875" style="1" customWidth="1"/>
    <col min="2107" max="2108" width="1" style="1" customWidth="1"/>
    <col min="2109" max="2118" width="0" style="1" hidden="1" customWidth="1"/>
    <col min="2119" max="2120" width="1" style="1" customWidth="1"/>
    <col min="2121" max="2121" width="17.85546875" style="1" customWidth="1"/>
    <col min="2122" max="2123" width="1" style="1" customWidth="1"/>
    <col min="2124" max="2124" width="1.5703125" style="1" customWidth="1"/>
    <col min="2125" max="2125" width="0.7109375" style="1" customWidth="1"/>
    <col min="2126" max="2126" width="1.85546875" style="1" customWidth="1"/>
    <col min="2127" max="2127" width="10.7109375" style="1" customWidth="1"/>
    <col min="2128" max="2128" width="0" style="1" hidden="1" customWidth="1"/>
    <col min="2129" max="2234" width="10" style="1"/>
    <col min="2235" max="2235" width="1.5703125" style="1" customWidth="1"/>
    <col min="2236" max="2236" width="1.42578125" style="1" customWidth="1"/>
    <col min="2237" max="2237" width="57.5703125" style="1" customWidth="1"/>
    <col min="2238" max="2238" width="2.7109375" style="1" customWidth="1"/>
    <col min="2239" max="2239" width="0" style="1" hidden="1" customWidth="1"/>
    <col min="2240" max="2241" width="1" style="1" customWidth="1"/>
    <col min="2242" max="2242" width="19.7109375" style="1" customWidth="1"/>
    <col min="2243" max="2244" width="1" style="1" customWidth="1"/>
    <col min="2245" max="2289" width="0" style="1" hidden="1" customWidth="1"/>
    <col min="2290" max="2291" width="1" style="1" customWidth="1"/>
    <col min="2292" max="2292" width="17.85546875" style="1" customWidth="1"/>
    <col min="2293" max="2294" width="1" style="1" customWidth="1"/>
    <col min="2295" max="2304" width="0" style="1" hidden="1" customWidth="1"/>
    <col min="2305" max="2306" width="1" style="1" customWidth="1"/>
    <col min="2307" max="2307" width="17.85546875" style="1" customWidth="1"/>
    <col min="2308" max="2311" width="1" style="1" customWidth="1"/>
    <col min="2312" max="2312" width="17.85546875" style="1" customWidth="1"/>
    <col min="2313" max="2314" width="1" style="1" customWidth="1"/>
    <col min="2315" max="2333" width="0" style="1" hidden="1" customWidth="1"/>
    <col min="2334" max="2334" width="1" style="1" customWidth="1"/>
    <col min="2335" max="2359" width="0" style="1" hidden="1" customWidth="1"/>
    <col min="2360" max="2361" width="1" style="1" customWidth="1"/>
    <col min="2362" max="2362" width="17.85546875" style="1" customWidth="1"/>
    <col min="2363" max="2364" width="1" style="1" customWidth="1"/>
    <col min="2365" max="2374" width="0" style="1" hidden="1" customWidth="1"/>
    <col min="2375" max="2376" width="1" style="1" customWidth="1"/>
    <col min="2377" max="2377" width="17.85546875" style="1" customWidth="1"/>
    <col min="2378" max="2379" width="1" style="1" customWidth="1"/>
    <col min="2380" max="2380" width="1.5703125" style="1" customWidth="1"/>
    <col min="2381" max="2381" width="0.7109375" style="1" customWidth="1"/>
    <col min="2382" max="2382" width="1.85546875" style="1" customWidth="1"/>
    <col min="2383" max="2383" width="10.7109375" style="1" customWidth="1"/>
    <col min="2384" max="2384" width="0" style="1" hidden="1" customWidth="1"/>
    <col min="2385" max="2490" width="10" style="1"/>
    <col min="2491" max="2491" width="1.5703125" style="1" customWidth="1"/>
    <col min="2492" max="2492" width="1.42578125" style="1" customWidth="1"/>
    <col min="2493" max="2493" width="57.5703125" style="1" customWidth="1"/>
    <col min="2494" max="2494" width="2.7109375" style="1" customWidth="1"/>
    <col min="2495" max="2495" width="0" style="1" hidden="1" customWidth="1"/>
    <col min="2496" max="2497" width="1" style="1" customWidth="1"/>
    <col min="2498" max="2498" width="19.7109375" style="1" customWidth="1"/>
    <col min="2499" max="2500" width="1" style="1" customWidth="1"/>
    <col min="2501" max="2545" width="0" style="1" hidden="1" customWidth="1"/>
    <col min="2546" max="2547" width="1" style="1" customWidth="1"/>
    <col min="2548" max="2548" width="17.85546875" style="1" customWidth="1"/>
    <col min="2549" max="2550" width="1" style="1" customWidth="1"/>
    <col min="2551" max="2560" width="0" style="1" hidden="1" customWidth="1"/>
    <col min="2561" max="2562" width="1" style="1" customWidth="1"/>
    <col min="2563" max="2563" width="17.85546875" style="1" customWidth="1"/>
    <col min="2564" max="2567" width="1" style="1" customWidth="1"/>
    <col min="2568" max="2568" width="17.85546875" style="1" customWidth="1"/>
    <col min="2569" max="2570" width="1" style="1" customWidth="1"/>
    <col min="2571" max="2589" width="0" style="1" hidden="1" customWidth="1"/>
    <col min="2590" max="2590" width="1" style="1" customWidth="1"/>
    <col min="2591" max="2615" width="0" style="1" hidden="1" customWidth="1"/>
    <col min="2616" max="2617" width="1" style="1" customWidth="1"/>
    <col min="2618" max="2618" width="17.85546875" style="1" customWidth="1"/>
    <col min="2619" max="2620" width="1" style="1" customWidth="1"/>
    <col min="2621" max="2630" width="0" style="1" hidden="1" customWidth="1"/>
    <col min="2631" max="2632" width="1" style="1" customWidth="1"/>
    <col min="2633" max="2633" width="17.85546875" style="1" customWidth="1"/>
    <col min="2634" max="2635" width="1" style="1" customWidth="1"/>
    <col min="2636" max="2636" width="1.5703125" style="1" customWidth="1"/>
    <col min="2637" max="2637" width="0.7109375" style="1" customWidth="1"/>
    <col min="2638" max="2638" width="1.85546875" style="1" customWidth="1"/>
    <col min="2639" max="2639" width="10.7109375" style="1" customWidth="1"/>
    <col min="2640" max="2640" width="0" style="1" hidden="1" customWidth="1"/>
    <col min="2641" max="2746" width="10" style="1"/>
    <col min="2747" max="2747" width="1.5703125" style="1" customWidth="1"/>
    <col min="2748" max="2748" width="1.42578125" style="1" customWidth="1"/>
    <col min="2749" max="2749" width="57.5703125" style="1" customWidth="1"/>
    <col min="2750" max="2750" width="2.7109375" style="1" customWidth="1"/>
    <col min="2751" max="2751" width="0" style="1" hidden="1" customWidth="1"/>
    <col min="2752" max="2753" width="1" style="1" customWidth="1"/>
    <col min="2754" max="2754" width="19.7109375" style="1" customWidth="1"/>
    <col min="2755" max="2756" width="1" style="1" customWidth="1"/>
    <col min="2757" max="2801" width="0" style="1" hidden="1" customWidth="1"/>
    <col min="2802" max="2803" width="1" style="1" customWidth="1"/>
    <col min="2804" max="2804" width="17.85546875" style="1" customWidth="1"/>
    <col min="2805" max="2806" width="1" style="1" customWidth="1"/>
    <col min="2807" max="2816" width="0" style="1" hidden="1" customWidth="1"/>
    <col min="2817" max="2818" width="1" style="1" customWidth="1"/>
    <col min="2819" max="2819" width="17.85546875" style="1" customWidth="1"/>
    <col min="2820" max="2823" width="1" style="1" customWidth="1"/>
    <col min="2824" max="2824" width="17.85546875" style="1" customWidth="1"/>
    <col min="2825" max="2826" width="1" style="1" customWidth="1"/>
    <col min="2827" max="2845" width="0" style="1" hidden="1" customWidth="1"/>
    <col min="2846" max="2846" width="1" style="1" customWidth="1"/>
    <col min="2847" max="2871" width="0" style="1" hidden="1" customWidth="1"/>
    <col min="2872" max="2873" width="1" style="1" customWidth="1"/>
    <col min="2874" max="2874" width="17.85546875" style="1" customWidth="1"/>
    <col min="2875" max="2876" width="1" style="1" customWidth="1"/>
    <col min="2877" max="2886" width="0" style="1" hidden="1" customWidth="1"/>
    <col min="2887" max="2888" width="1" style="1" customWidth="1"/>
    <col min="2889" max="2889" width="17.85546875" style="1" customWidth="1"/>
    <col min="2890" max="2891" width="1" style="1" customWidth="1"/>
    <col min="2892" max="2892" width="1.5703125" style="1" customWidth="1"/>
    <col min="2893" max="2893" width="0.7109375" style="1" customWidth="1"/>
    <col min="2894" max="2894" width="1.85546875" style="1" customWidth="1"/>
    <col min="2895" max="2895" width="10.7109375" style="1" customWidth="1"/>
    <col min="2896" max="2896" width="0" style="1" hidden="1" customWidth="1"/>
    <col min="2897" max="3002" width="10" style="1"/>
    <col min="3003" max="3003" width="1.5703125" style="1" customWidth="1"/>
    <col min="3004" max="3004" width="1.42578125" style="1" customWidth="1"/>
    <col min="3005" max="3005" width="57.5703125" style="1" customWidth="1"/>
    <col min="3006" max="3006" width="2.7109375" style="1" customWidth="1"/>
    <col min="3007" max="3007" width="0" style="1" hidden="1" customWidth="1"/>
    <col min="3008" max="3009" width="1" style="1" customWidth="1"/>
    <col min="3010" max="3010" width="19.7109375" style="1" customWidth="1"/>
    <col min="3011" max="3012" width="1" style="1" customWidth="1"/>
    <col min="3013" max="3057" width="0" style="1" hidden="1" customWidth="1"/>
    <col min="3058" max="3059" width="1" style="1" customWidth="1"/>
    <col min="3060" max="3060" width="17.85546875" style="1" customWidth="1"/>
    <col min="3061" max="3062" width="1" style="1" customWidth="1"/>
    <col min="3063" max="3072" width="0" style="1" hidden="1" customWidth="1"/>
    <col min="3073" max="3074" width="1" style="1" customWidth="1"/>
    <col min="3075" max="3075" width="17.85546875" style="1" customWidth="1"/>
    <col min="3076" max="3079" width="1" style="1" customWidth="1"/>
    <col min="3080" max="3080" width="17.85546875" style="1" customWidth="1"/>
    <col min="3081" max="3082" width="1" style="1" customWidth="1"/>
    <col min="3083" max="3101" width="0" style="1" hidden="1" customWidth="1"/>
    <col min="3102" max="3102" width="1" style="1" customWidth="1"/>
    <col min="3103" max="3127" width="0" style="1" hidden="1" customWidth="1"/>
    <col min="3128" max="3129" width="1" style="1" customWidth="1"/>
    <col min="3130" max="3130" width="17.85546875" style="1" customWidth="1"/>
    <col min="3131" max="3132" width="1" style="1" customWidth="1"/>
    <col min="3133" max="3142" width="0" style="1" hidden="1" customWidth="1"/>
    <col min="3143" max="3144" width="1" style="1" customWidth="1"/>
    <col min="3145" max="3145" width="17.85546875" style="1" customWidth="1"/>
    <col min="3146" max="3147" width="1" style="1" customWidth="1"/>
    <col min="3148" max="3148" width="1.5703125" style="1" customWidth="1"/>
    <col min="3149" max="3149" width="0.7109375" style="1" customWidth="1"/>
    <col min="3150" max="3150" width="1.85546875" style="1" customWidth="1"/>
    <col min="3151" max="3151" width="10.7109375" style="1" customWidth="1"/>
    <col min="3152" max="3152" width="0" style="1" hidden="1" customWidth="1"/>
    <col min="3153" max="3258" width="10" style="1"/>
    <col min="3259" max="3259" width="1.5703125" style="1" customWidth="1"/>
    <col min="3260" max="3260" width="1.42578125" style="1" customWidth="1"/>
    <col min="3261" max="3261" width="57.5703125" style="1" customWidth="1"/>
    <col min="3262" max="3262" width="2.7109375" style="1" customWidth="1"/>
    <col min="3263" max="3263" width="0" style="1" hidden="1" customWidth="1"/>
    <col min="3264" max="3265" width="1" style="1" customWidth="1"/>
    <col min="3266" max="3266" width="19.7109375" style="1" customWidth="1"/>
    <col min="3267" max="3268" width="1" style="1" customWidth="1"/>
    <col min="3269" max="3313" width="0" style="1" hidden="1" customWidth="1"/>
    <col min="3314" max="3315" width="1" style="1" customWidth="1"/>
    <col min="3316" max="3316" width="17.85546875" style="1" customWidth="1"/>
    <col min="3317" max="3318" width="1" style="1" customWidth="1"/>
    <col min="3319" max="3328" width="0" style="1" hidden="1" customWidth="1"/>
    <col min="3329" max="3330" width="1" style="1" customWidth="1"/>
    <col min="3331" max="3331" width="17.85546875" style="1" customWidth="1"/>
    <col min="3332" max="3335" width="1" style="1" customWidth="1"/>
    <col min="3336" max="3336" width="17.85546875" style="1" customWidth="1"/>
    <col min="3337" max="3338" width="1" style="1" customWidth="1"/>
    <col min="3339" max="3357" width="0" style="1" hidden="1" customWidth="1"/>
    <col min="3358" max="3358" width="1" style="1" customWidth="1"/>
    <col min="3359" max="3383" width="0" style="1" hidden="1" customWidth="1"/>
    <col min="3384" max="3385" width="1" style="1" customWidth="1"/>
    <col min="3386" max="3386" width="17.85546875" style="1" customWidth="1"/>
    <col min="3387" max="3388" width="1" style="1" customWidth="1"/>
    <col min="3389" max="3398" width="0" style="1" hidden="1" customWidth="1"/>
    <col min="3399" max="3400" width="1" style="1" customWidth="1"/>
    <col min="3401" max="3401" width="17.85546875" style="1" customWidth="1"/>
    <col min="3402" max="3403" width="1" style="1" customWidth="1"/>
    <col min="3404" max="3404" width="1.5703125" style="1" customWidth="1"/>
    <col min="3405" max="3405" width="0.7109375" style="1" customWidth="1"/>
    <col min="3406" max="3406" width="1.85546875" style="1" customWidth="1"/>
    <col min="3407" max="3407" width="10.7109375" style="1" customWidth="1"/>
    <col min="3408" max="3408" width="0" style="1" hidden="1" customWidth="1"/>
    <col min="3409" max="3514" width="10" style="1"/>
    <col min="3515" max="3515" width="1.5703125" style="1" customWidth="1"/>
    <col min="3516" max="3516" width="1.42578125" style="1" customWidth="1"/>
    <col min="3517" max="3517" width="57.5703125" style="1" customWidth="1"/>
    <col min="3518" max="3518" width="2.7109375" style="1" customWidth="1"/>
    <col min="3519" max="3519" width="0" style="1" hidden="1" customWidth="1"/>
    <col min="3520" max="3521" width="1" style="1" customWidth="1"/>
    <col min="3522" max="3522" width="19.7109375" style="1" customWidth="1"/>
    <col min="3523" max="3524" width="1" style="1" customWidth="1"/>
    <col min="3525" max="3569" width="0" style="1" hidden="1" customWidth="1"/>
    <col min="3570" max="3571" width="1" style="1" customWidth="1"/>
    <col min="3572" max="3572" width="17.85546875" style="1" customWidth="1"/>
    <col min="3573" max="3574" width="1" style="1" customWidth="1"/>
    <col min="3575" max="3584" width="0" style="1" hidden="1" customWidth="1"/>
    <col min="3585" max="3586" width="1" style="1" customWidth="1"/>
    <col min="3587" max="3587" width="17.85546875" style="1" customWidth="1"/>
    <col min="3588" max="3591" width="1" style="1" customWidth="1"/>
    <col min="3592" max="3592" width="17.85546875" style="1" customWidth="1"/>
    <col min="3593" max="3594" width="1" style="1" customWidth="1"/>
    <col min="3595" max="3613" width="0" style="1" hidden="1" customWidth="1"/>
    <col min="3614" max="3614" width="1" style="1" customWidth="1"/>
    <col min="3615" max="3639" width="0" style="1" hidden="1" customWidth="1"/>
    <col min="3640" max="3641" width="1" style="1" customWidth="1"/>
    <col min="3642" max="3642" width="17.85546875" style="1" customWidth="1"/>
    <col min="3643" max="3644" width="1" style="1" customWidth="1"/>
    <col min="3645" max="3654" width="0" style="1" hidden="1" customWidth="1"/>
    <col min="3655" max="3656" width="1" style="1" customWidth="1"/>
    <col min="3657" max="3657" width="17.85546875" style="1" customWidth="1"/>
    <col min="3658" max="3659" width="1" style="1" customWidth="1"/>
    <col min="3660" max="3660" width="1.5703125" style="1" customWidth="1"/>
    <col min="3661" max="3661" width="0.7109375" style="1" customWidth="1"/>
    <col min="3662" max="3662" width="1.85546875" style="1" customWidth="1"/>
    <col min="3663" max="3663" width="10.7109375" style="1" customWidth="1"/>
    <col min="3664" max="3664" width="0" style="1" hidden="1" customWidth="1"/>
    <col min="3665" max="3770" width="10" style="1"/>
    <col min="3771" max="3771" width="1.5703125" style="1" customWidth="1"/>
    <col min="3772" max="3772" width="1.42578125" style="1" customWidth="1"/>
    <col min="3773" max="3773" width="57.5703125" style="1" customWidth="1"/>
    <col min="3774" max="3774" width="2.7109375" style="1" customWidth="1"/>
    <col min="3775" max="3775" width="0" style="1" hidden="1" customWidth="1"/>
    <col min="3776" max="3777" width="1" style="1" customWidth="1"/>
    <col min="3778" max="3778" width="19.7109375" style="1" customWidth="1"/>
    <col min="3779" max="3780" width="1" style="1" customWidth="1"/>
    <col min="3781" max="3825" width="0" style="1" hidden="1" customWidth="1"/>
    <col min="3826" max="3827" width="1" style="1" customWidth="1"/>
    <col min="3828" max="3828" width="17.85546875" style="1" customWidth="1"/>
    <col min="3829" max="3830" width="1" style="1" customWidth="1"/>
    <col min="3831" max="3840" width="0" style="1" hidden="1" customWidth="1"/>
    <col min="3841" max="3842" width="1" style="1" customWidth="1"/>
    <col min="3843" max="3843" width="17.85546875" style="1" customWidth="1"/>
    <col min="3844" max="3847" width="1" style="1" customWidth="1"/>
    <col min="3848" max="3848" width="17.85546875" style="1" customWidth="1"/>
    <col min="3849" max="3850" width="1" style="1" customWidth="1"/>
    <col min="3851" max="3869" width="0" style="1" hidden="1" customWidth="1"/>
    <col min="3870" max="3870" width="1" style="1" customWidth="1"/>
    <col min="3871" max="3895" width="0" style="1" hidden="1" customWidth="1"/>
    <col min="3896" max="3897" width="1" style="1" customWidth="1"/>
    <col min="3898" max="3898" width="17.85546875" style="1" customWidth="1"/>
    <col min="3899" max="3900" width="1" style="1" customWidth="1"/>
    <col min="3901" max="3910" width="0" style="1" hidden="1" customWidth="1"/>
    <col min="3911" max="3912" width="1" style="1" customWidth="1"/>
    <col min="3913" max="3913" width="17.85546875" style="1" customWidth="1"/>
    <col min="3914" max="3915" width="1" style="1" customWidth="1"/>
    <col min="3916" max="3916" width="1.5703125" style="1" customWidth="1"/>
    <col min="3917" max="3917" width="0.7109375" style="1" customWidth="1"/>
    <col min="3918" max="3918" width="1.85546875" style="1" customWidth="1"/>
    <col min="3919" max="3919" width="10.7109375" style="1" customWidth="1"/>
    <col min="3920" max="3920" width="0" style="1" hidden="1" customWidth="1"/>
    <col min="3921" max="4026" width="10" style="1"/>
    <col min="4027" max="4027" width="1.5703125" style="1" customWidth="1"/>
    <col min="4028" max="4028" width="1.42578125" style="1" customWidth="1"/>
    <col min="4029" max="4029" width="57.5703125" style="1" customWidth="1"/>
    <col min="4030" max="4030" width="2.7109375" style="1" customWidth="1"/>
    <col min="4031" max="4031" width="0" style="1" hidden="1" customWidth="1"/>
    <col min="4032" max="4033" width="1" style="1" customWidth="1"/>
    <col min="4034" max="4034" width="19.7109375" style="1" customWidth="1"/>
    <col min="4035" max="4036" width="1" style="1" customWidth="1"/>
    <col min="4037" max="4081" width="0" style="1" hidden="1" customWidth="1"/>
    <col min="4082" max="4083" width="1" style="1" customWidth="1"/>
    <col min="4084" max="4084" width="17.85546875" style="1" customWidth="1"/>
    <col min="4085" max="4086" width="1" style="1" customWidth="1"/>
    <col min="4087" max="4096" width="0" style="1" hidden="1" customWidth="1"/>
    <col min="4097" max="4098" width="1" style="1" customWidth="1"/>
    <col min="4099" max="4099" width="17.85546875" style="1" customWidth="1"/>
    <col min="4100" max="4103" width="1" style="1" customWidth="1"/>
    <col min="4104" max="4104" width="17.85546875" style="1" customWidth="1"/>
    <col min="4105" max="4106" width="1" style="1" customWidth="1"/>
    <col min="4107" max="4125" width="0" style="1" hidden="1" customWidth="1"/>
    <col min="4126" max="4126" width="1" style="1" customWidth="1"/>
    <col min="4127" max="4151" width="0" style="1" hidden="1" customWidth="1"/>
    <col min="4152" max="4153" width="1" style="1" customWidth="1"/>
    <col min="4154" max="4154" width="17.85546875" style="1" customWidth="1"/>
    <col min="4155" max="4156" width="1" style="1" customWidth="1"/>
    <col min="4157" max="4166" width="0" style="1" hidden="1" customWidth="1"/>
    <col min="4167" max="4168" width="1" style="1" customWidth="1"/>
    <col min="4169" max="4169" width="17.85546875" style="1" customWidth="1"/>
    <col min="4170" max="4171" width="1" style="1" customWidth="1"/>
    <col min="4172" max="4172" width="1.5703125" style="1" customWidth="1"/>
    <col min="4173" max="4173" width="0.7109375" style="1" customWidth="1"/>
    <col min="4174" max="4174" width="1.85546875" style="1" customWidth="1"/>
    <col min="4175" max="4175" width="10.7109375" style="1" customWidth="1"/>
    <col min="4176" max="4176" width="0" style="1" hidden="1" customWidth="1"/>
    <col min="4177" max="4282" width="10" style="1"/>
    <col min="4283" max="4283" width="1.5703125" style="1" customWidth="1"/>
    <col min="4284" max="4284" width="1.42578125" style="1" customWidth="1"/>
    <col min="4285" max="4285" width="57.5703125" style="1" customWidth="1"/>
    <col min="4286" max="4286" width="2.7109375" style="1" customWidth="1"/>
    <col min="4287" max="4287" width="0" style="1" hidden="1" customWidth="1"/>
    <col min="4288" max="4289" width="1" style="1" customWidth="1"/>
    <col min="4290" max="4290" width="19.7109375" style="1" customWidth="1"/>
    <col min="4291" max="4292" width="1" style="1" customWidth="1"/>
    <col min="4293" max="4337" width="0" style="1" hidden="1" customWidth="1"/>
    <col min="4338" max="4339" width="1" style="1" customWidth="1"/>
    <col min="4340" max="4340" width="17.85546875" style="1" customWidth="1"/>
    <col min="4341" max="4342" width="1" style="1" customWidth="1"/>
    <col min="4343" max="4352" width="0" style="1" hidden="1" customWidth="1"/>
    <col min="4353" max="4354" width="1" style="1" customWidth="1"/>
    <col min="4355" max="4355" width="17.85546875" style="1" customWidth="1"/>
    <col min="4356" max="4359" width="1" style="1" customWidth="1"/>
    <col min="4360" max="4360" width="17.85546875" style="1" customWidth="1"/>
    <col min="4361" max="4362" width="1" style="1" customWidth="1"/>
    <col min="4363" max="4381" width="0" style="1" hidden="1" customWidth="1"/>
    <col min="4382" max="4382" width="1" style="1" customWidth="1"/>
    <col min="4383" max="4407" width="0" style="1" hidden="1" customWidth="1"/>
    <col min="4408" max="4409" width="1" style="1" customWidth="1"/>
    <col min="4410" max="4410" width="17.85546875" style="1" customWidth="1"/>
    <col min="4411" max="4412" width="1" style="1" customWidth="1"/>
    <col min="4413" max="4422" width="0" style="1" hidden="1" customWidth="1"/>
    <col min="4423" max="4424" width="1" style="1" customWidth="1"/>
    <col min="4425" max="4425" width="17.85546875" style="1" customWidth="1"/>
    <col min="4426" max="4427" width="1" style="1" customWidth="1"/>
    <col min="4428" max="4428" width="1.5703125" style="1" customWidth="1"/>
    <col min="4429" max="4429" width="0.7109375" style="1" customWidth="1"/>
    <col min="4430" max="4430" width="1.85546875" style="1" customWidth="1"/>
    <col min="4431" max="4431" width="10.7109375" style="1" customWidth="1"/>
    <col min="4432" max="4432" width="0" style="1" hidden="1" customWidth="1"/>
    <col min="4433" max="4538" width="10" style="1"/>
    <col min="4539" max="4539" width="1.5703125" style="1" customWidth="1"/>
    <col min="4540" max="4540" width="1.42578125" style="1" customWidth="1"/>
    <col min="4541" max="4541" width="57.5703125" style="1" customWidth="1"/>
    <col min="4542" max="4542" width="2.7109375" style="1" customWidth="1"/>
    <col min="4543" max="4543" width="0" style="1" hidden="1" customWidth="1"/>
    <col min="4544" max="4545" width="1" style="1" customWidth="1"/>
    <col min="4546" max="4546" width="19.7109375" style="1" customWidth="1"/>
    <col min="4547" max="4548" width="1" style="1" customWidth="1"/>
    <col min="4549" max="4593" width="0" style="1" hidden="1" customWidth="1"/>
    <col min="4594" max="4595" width="1" style="1" customWidth="1"/>
    <col min="4596" max="4596" width="17.85546875" style="1" customWidth="1"/>
    <col min="4597" max="4598" width="1" style="1" customWidth="1"/>
    <col min="4599" max="4608" width="0" style="1" hidden="1" customWidth="1"/>
    <col min="4609" max="4610" width="1" style="1" customWidth="1"/>
    <col min="4611" max="4611" width="17.85546875" style="1" customWidth="1"/>
    <col min="4612" max="4615" width="1" style="1" customWidth="1"/>
    <col min="4616" max="4616" width="17.85546875" style="1" customWidth="1"/>
    <col min="4617" max="4618" width="1" style="1" customWidth="1"/>
    <col min="4619" max="4637" width="0" style="1" hidden="1" customWidth="1"/>
    <col min="4638" max="4638" width="1" style="1" customWidth="1"/>
    <col min="4639" max="4663" width="0" style="1" hidden="1" customWidth="1"/>
    <col min="4664" max="4665" width="1" style="1" customWidth="1"/>
    <col min="4666" max="4666" width="17.85546875" style="1" customWidth="1"/>
    <col min="4667" max="4668" width="1" style="1" customWidth="1"/>
    <col min="4669" max="4678" width="0" style="1" hidden="1" customWidth="1"/>
    <col min="4679" max="4680" width="1" style="1" customWidth="1"/>
    <col min="4681" max="4681" width="17.85546875" style="1" customWidth="1"/>
    <col min="4682" max="4683" width="1" style="1" customWidth="1"/>
    <col min="4684" max="4684" width="1.5703125" style="1" customWidth="1"/>
    <col min="4685" max="4685" width="0.7109375" style="1" customWidth="1"/>
    <col min="4686" max="4686" width="1.85546875" style="1" customWidth="1"/>
    <col min="4687" max="4687" width="10.7109375" style="1" customWidth="1"/>
    <col min="4688" max="4688" width="0" style="1" hidden="1" customWidth="1"/>
    <col min="4689" max="4794" width="10" style="1"/>
    <col min="4795" max="4795" width="1.5703125" style="1" customWidth="1"/>
    <col min="4796" max="4796" width="1.42578125" style="1" customWidth="1"/>
    <col min="4797" max="4797" width="57.5703125" style="1" customWidth="1"/>
    <col min="4798" max="4798" width="2.7109375" style="1" customWidth="1"/>
    <col min="4799" max="4799" width="0" style="1" hidden="1" customWidth="1"/>
    <col min="4800" max="4801" width="1" style="1" customWidth="1"/>
    <col min="4802" max="4802" width="19.7109375" style="1" customWidth="1"/>
    <col min="4803" max="4804" width="1" style="1" customWidth="1"/>
    <col min="4805" max="4849" width="0" style="1" hidden="1" customWidth="1"/>
    <col min="4850" max="4851" width="1" style="1" customWidth="1"/>
    <col min="4852" max="4852" width="17.85546875" style="1" customWidth="1"/>
    <col min="4853" max="4854" width="1" style="1" customWidth="1"/>
    <col min="4855" max="4864" width="0" style="1" hidden="1" customWidth="1"/>
    <col min="4865" max="4866" width="1" style="1" customWidth="1"/>
    <col min="4867" max="4867" width="17.85546875" style="1" customWidth="1"/>
    <col min="4868" max="4871" width="1" style="1" customWidth="1"/>
    <col min="4872" max="4872" width="17.85546875" style="1" customWidth="1"/>
    <col min="4873" max="4874" width="1" style="1" customWidth="1"/>
    <col min="4875" max="4893" width="0" style="1" hidden="1" customWidth="1"/>
    <col min="4894" max="4894" width="1" style="1" customWidth="1"/>
    <col min="4895" max="4919" width="0" style="1" hidden="1" customWidth="1"/>
    <col min="4920" max="4921" width="1" style="1" customWidth="1"/>
    <col min="4922" max="4922" width="17.85546875" style="1" customWidth="1"/>
    <col min="4923" max="4924" width="1" style="1" customWidth="1"/>
    <col min="4925" max="4934" width="0" style="1" hidden="1" customWidth="1"/>
    <col min="4935" max="4936" width="1" style="1" customWidth="1"/>
    <col min="4937" max="4937" width="17.85546875" style="1" customWidth="1"/>
    <col min="4938" max="4939" width="1" style="1" customWidth="1"/>
    <col min="4940" max="4940" width="1.5703125" style="1" customWidth="1"/>
    <col min="4941" max="4941" width="0.7109375" style="1" customWidth="1"/>
    <col min="4942" max="4942" width="1.85546875" style="1" customWidth="1"/>
    <col min="4943" max="4943" width="10.7109375" style="1" customWidth="1"/>
    <col min="4944" max="4944" width="0" style="1" hidden="1" customWidth="1"/>
    <col min="4945" max="5050" width="10" style="1"/>
    <col min="5051" max="5051" width="1.5703125" style="1" customWidth="1"/>
    <col min="5052" max="5052" width="1.42578125" style="1" customWidth="1"/>
    <col min="5053" max="5053" width="57.5703125" style="1" customWidth="1"/>
    <col min="5054" max="5054" width="2.7109375" style="1" customWidth="1"/>
    <col min="5055" max="5055" width="0" style="1" hidden="1" customWidth="1"/>
    <col min="5056" max="5057" width="1" style="1" customWidth="1"/>
    <col min="5058" max="5058" width="19.7109375" style="1" customWidth="1"/>
    <col min="5059" max="5060" width="1" style="1" customWidth="1"/>
    <col min="5061" max="5105" width="0" style="1" hidden="1" customWidth="1"/>
    <col min="5106" max="5107" width="1" style="1" customWidth="1"/>
    <col min="5108" max="5108" width="17.85546875" style="1" customWidth="1"/>
    <col min="5109" max="5110" width="1" style="1" customWidth="1"/>
    <col min="5111" max="5120" width="0" style="1" hidden="1" customWidth="1"/>
    <col min="5121" max="5122" width="1" style="1" customWidth="1"/>
    <col min="5123" max="5123" width="17.85546875" style="1" customWidth="1"/>
    <col min="5124" max="5127" width="1" style="1" customWidth="1"/>
    <col min="5128" max="5128" width="17.85546875" style="1" customWidth="1"/>
    <col min="5129" max="5130" width="1" style="1" customWidth="1"/>
    <col min="5131" max="5149" width="0" style="1" hidden="1" customWidth="1"/>
    <col min="5150" max="5150" width="1" style="1" customWidth="1"/>
    <col min="5151" max="5175" width="0" style="1" hidden="1" customWidth="1"/>
    <col min="5176" max="5177" width="1" style="1" customWidth="1"/>
    <col min="5178" max="5178" width="17.85546875" style="1" customWidth="1"/>
    <col min="5179" max="5180" width="1" style="1" customWidth="1"/>
    <col min="5181" max="5190" width="0" style="1" hidden="1" customWidth="1"/>
    <col min="5191" max="5192" width="1" style="1" customWidth="1"/>
    <col min="5193" max="5193" width="17.85546875" style="1" customWidth="1"/>
    <col min="5194" max="5195" width="1" style="1" customWidth="1"/>
    <col min="5196" max="5196" width="1.5703125" style="1" customWidth="1"/>
    <col min="5197" max="5197" width="0.7109375" style="1" customWidth="1"/>
    <col min="5198" max="5198" width="1.85546875" style="1" customWidth="1"/>
    <col min="5199" max="5199" width="10.7109375" style="1" customWidth="1"/>
    <col min="5200" max="5200" width="0" style="1" hidden="1" customWidth="1"/>
    <col min="5201" max="5306" width="10" style="1"/>
    <col min="5307" max="5307" width="1.5703125" style="1" customWidth="1"/>
    <col min="5308" max="5308" width="1.42578125" style="1" customWidth="1"/>
    <col min="5309" max="5309" width="57.5703125" style="1" customWidth="1"/>
    <col min="5310" max="5310" width="2.7109375" style="1" customWidth="1"/>
    <col min="5311" max="5311" width="0" style="1" hidden="1" customWidth="1"/>
    <col min="5312" max="5313" width="1" style="1" customWidth="1"/>
    <col min="5314" max="5314" width="19.7109375" style="1" customWidth="1"/>
    <col min="5315" max="5316" width="1" style="1" customWidth="1"/>
    <col min="5317" max="5361" width="0" style="1" hidden="1" customWidth="1"/>
    <col min="5362" max="5363" width="1" style="1" customWidth="1"/>
    <col min="5364" max="5364" width="17.85546875" style="1" customWidth="1"/>
    <col min="5365" max="5366" width="1" style="1" customWidth="1"/>
    <col min="5367" max="5376" width="0" style="1" hidden="1" customWidth="1"/>
    <col min="5377" max="5378" width="1" style="1" customWidth="1"/>
    <col min="5379" max="5379" width="17.85546875" style="1" customWidth="1"/>
    <col min="5380" max="5383" width="1" style="1" customWidth="1"/>
    <col min="5384" max="5384" width="17.85546875" style="1" customWidth="1"/>
    <col min="5385" max="5386" width="1" style="1" customWidth="1"/>
    <col min="5387" max="5405" width="0" style="1" hidden="1" customWidth="1"/>
    <col min="5406" max="5406" width="1" style="1" customWidth="1"/>
    <col min="5407" max="5431" width="0" style="1" hidden="1" customWidth="1"/>
    <col min="5432" max="5433" width="1" style="1" customWidth="1"/>
    <col min="5434" max="5434" width="17.85546875" style="1" customWidth="1"/>
    <col min="5435" max="5436" width="1" style="1" customWidth="1"/>
    <col min="5437" max="5446" width="0" style="1" hidden="1" customWidth="1"/>
    <col min="5447" max="5448" width="1" style="1" customWidth="1"/>
    <col min="5449" max="5449" width="17.85546875" style="1" customWidth="1"/>
    <col min="5450" max="5451" width="1" style="1" customWidth="1"/>
    <col min="5452" max="5452" width="1.5703125" style="1" customWidth="1"/>
    <col min="5453" max="5453" width="0.7109375" style="1" customWidth="1"/>
    <col min="5454" max="5454" width="1.85546875" style="1" customWidth="1"/>
    <col min="5455" max="5455" width="10.7109375" style="1" customWidth="1"/>
    <col min="5456" max="5456" width="0" style="1" hidden="1" customWidth="1"/>
    <col min="5457" max="5562" width="10" style="1"/>
    <col min="5563" max="5563" width="1.5703125" style="1" customWidth="1"/>
    <col min="5564" max="5564" width="1.42578125" style="1" customWidth="1"/>
    <col min="5565" max="5565" width="57.5703125" style="1" customWidth="1"/>
    <col min="5566" max="5566" width="2.7109375" style="1" customWidth="1"/>
    <col min="5567" max="5567" width="0" style="1" hidden="1" customWidth="1"/>
    <col min="5568" max="5569" width="1" style="1" customWidth="1"/>
    <col min="5570" max="5570" width="19.7109375" style="1" customWidth="1"/>
    <col min="5571" max="5572" width="1" style="1" customWidth="1"/>
    <col min="5573" max="5617" width="0" style="1" hidden="1" customWidth="1"/>
    <col min="5618" max="5619" width="1" style="1" customWidth="1"/>
    <col min="5620" max="5620" width="17.85546875" style="1" customWidth="1"/>
    <col min="5621" max="5622" width="1" style="1" customWidth="1"/>
    <col min="5623" max="5632" width="0" style="1" hidden="1" customWidth="1"/>
    <col min="5633" max="5634" width="1" style="1" customWidth="1"/>
    <col min="5635" max="5635" width="17.85546875" style="1" customWidth="1"/>
    <col min="5636" max="5639" width="1" style="1" customWidth="1"/>
    <col min="5640" max="5640" width="17.85546875" style="1" customWidth="1"/>
    <col min="5641" max="5642" width="1" style="1" customWidth="1"/>
    <col min="5643" max="5661" width="0" style="1" hidden="1" customWidth="1"/>
    <col min="5662" max="5662" width="1" style="1" customWidth="1"/>
    <col min="5663" max="5687" width="0" style="1" hidden="1" customWidth="1"/>
    <col min="5688" max="5689" width="1" style="1" customWidth="1"/>
    <col min="5690" max="5690" width="17.85546875" style="1" customWidth="1"/>
    <col min="5691" max="5692" width="1" style="1" customWidth="1"/>
    <col min="5693" max="5702" width="0" style="1" hidden="1" customWidth="1"/>
    <col min="5703" max="5704" width="1" style="1" customWidth="1"/>
    <col min="5705" max="5705" width="17.85546875" style="1" customWidth="1"/>
    <col min="5706" max="5707" width="1" style="1" customWidth="1"/>
    <col min="5708" max="5708" width="1.5703125" style="1" customWidth="1"/>
    <col min="5709" max="5709" width="0.7109375" style="1" customWidth="1"/>
    <col min="5710" max="5710" width="1.85546875" style="1" customWidth="1"/>
    <col min="5711" max="5711" width="10.7109375" style="1" customWidth="1"/>
    <col min="5712" max="5712" width="0" style="1" hidden="1" customWidth="1"/>
    <col min="5713" max="5818" width="10" style="1"/>
    <col min="5819" max="5819" width="1.5703125" style="1" customWidth="1"/>
    <col min="5820" max="5820" width="1.42578125" style="1" customWidth="1"/>
    <col min="5821" max="5821" width="57.5703125" style="1" customWidth="1"/>
    <col min="5822" max="5822" width="2.7109375" style="1" customWidth="1"/>
    <col min="5823" max="5823" width="0" style="1" hidden="1" customWidth="1"/>
    <col min="5824" max="5825" width="1" style="1" customWidth="1"/>
    <col min="5826" max="5826" width="19.7109375" style="1" customWidth="1"/>
    <col min="5827" max="5828" width="1" style="1" customWidth="1"/>
    <col min="5829" max="5873" width="0" style="1" hidden="1" customWidth="1"/>
    <col min="5874" max="5875" width="1" style="1" customWidth="1"/>
    <col min="5876" max="5876" width="17.85546875" style="1" customWidth="1"/>
    <col min="5877" max="5878" width="1" style="1" customWidth="1"/>
    <col min="5879" max="5888" width="0" style="1" hidden="1" customWidth="1"/>
    <col min="5889" max="5890" width="1" style="1" customWidth="1"/>
    <col min="5891" max="5891" width="17.85546875" style="1" customWidth="1"/>
    <col min="5892" max="5895" width="1" style="1" customWidth="1"/>
    <col min="5896" max="5896" width="17.85546875" style="1" customWidth="1"/>
    <col min="5897" max="5898" width="1" style="1" customWidth="1"/>
    <col min="5899" max="5917" width="0" style="1" hidden="1" customWidth="1"/>
    <col min="5918" max="5918" width="1" style="1" customWidth="1"/>
    <col min="5919" max="5943" width="0" style="1" hidden="1" customWidth="1"/>
    <col min="5944" max="5945" width="1" style="1" customWidth="1"/>
    <col min="5946" max="5946" width="17.85546875" style="1" customWidth="1"/>
    <col min="5947" max="5948" width="1" style="1" customWidth="1"/>
    <col min="5949" max="5958" width="0" style="1" hidden="1" customWidth="1"/>
    <col min="5959" max="5960" width="1" style="1" customWidth="1"/>
    <col min="5961" max="5961" width="17.85546875" style="1" customWidth="1"/>
    <col min="5962" max="5963" width="1" style="1" customWidth="1"/>
    <col min="5964" max="5964" width="1.5703125" style="1" customWidth="1"/>
    <col min="5965" max="5965" width="0.7109375" style="1" customWidth="1"/>
    <col min="5966" max="5966" width="1.85546875" style="1" customWidth="1"/>
    <col min="5967" max="5967" width="10.7109375" style="1" customWidth="1"/>
    <col min="5968" max="5968" width="0" style="1" hidden="1" customWidth="1"/>
    <col min="5969" max="6074" width="10" style="1"/>
    <col min="6075" max="6075" width="1.5703125" style="1" customWidth="1"/>
    <col min="6076" max="6076" width="1.42578125" style="1" customWidth="1"/>
    <col min="6077" max="6077" width="57.5703125" style="1" customWidth="1"/>
    <col min="6078" max="6078" width="2.7109375" style="1" customWidth="1"/>
    <col min="6079" max="6079" width="0" style="1" hidden="1" customWidth="1"/>
    <col min="6080" max="6081" width="1" style="1" customWidth="1"/>
    <col min="6082" max="6082" width="19.7109375" style="1" customWidth="1"/>
    <col min="6083" max="6084" width="1" style="1" customWidth="1"/>
    <col min="6085" max="6129" width="0" style="1" hidden="1" customWidth="1"/>
    <col min="6130" max="6131" width="1" style="1" customWidth="1"/>
    <col min="6132" max="6132" width="17.85546875" style="1" customWidth="1"/>
    <col min="6133" max="6134" width="1" style="1" customWidth="1"/>
    <col min="6135" max="6144" width="0" style="1" hidden="1" customWidth="1"/>
    <col min="6145" max="6146" width="1" style="1" customWidth="1"/>
    <col min="6147" max="6147" width="17.85546875" style="1" customWidth="1"/>
    <col min="6148" max="6151" width="1" style="1" customWidth="1"/>
    <col min="6152" max="6152" width="17.85546875" style="1" customWidth="1"/>
    <col min="6153" max="6154" width="1" style="1" customWidth="1"/>
    <col min="6155" max="6173" width="0" style="1" hidden="1" customWidth="1"/>
    <col min="6174" max="6174" width="1" style="1" customWidth="1"/>
    <col min="6175" max="6199" width="0" style="1" hidden="1" customWidth="1"/>
    <col min="6200" max="6201" width="1" style="1" customWidth="1"/>
    <col min="6202" max="6202" width="17.85546875" style="1" customWidth="1"/>
    <col min="6203" max="6204" width="1" style="1" customWidth="1"/>
    <col min="6205" max="6214" width="0" style="1" hidden="1" customWidth="1"/>
    <col min="6215" max="6216" width="1" style="1" customWidth="1"/>
    <col min="6217" max="6217" width="17.85546875" style="1" customWidth="1"/>
    <col min="6218" max="6219" width="1" style="1" customWidth="1"/>
    <col min="6220" max="6220" width="1.5703125" style="1" customWidth="1"/>
    <col min="6221" max="6221" width="0.7109375" style="1" customWidth="1"/>
    <col min="6222" max="6222" width="1.85546875" style="1" customWidth="1"/>
    <col min="6223" max="6223" width="10.7109375" style="1" customWidth="1"/>
    <col min="6224" max="6224" width="0" style="1" hidden="1" customWidth="1"/>
    <col min="6225" max="6330" width="10" style="1"/>
    <col min="6331" max="6331" width="1.5703125" style="1" customWidth="1"/>
    <col min="6332" max="6332" width="1.42578125" style="1" customWidth="1"/>
    <col min="6333" max="6333" width="57.5703125" style="1" customWidth="1"/>
    <col min="6334" max="6334" width="2.7109375" style="1" customWidth="1"/>
    <col min="6335" max="6335" width="0" style="1" hidden="1" customWidth="1"/>
    <col min="6336" max="6337" width="1" style="1" customWidth="1"/>
    <col min="6338" max="6338" width="19.7109375" style="1" customWidth="1"/>
    <col min="6339" max="6340" width="1" style="1" customWidth="1"/>
    <col min="6341" max="6385" width="0" style="1" hidden="1" customWidth="1"/>
    <col min="6386" max="6387" width="1" style="1" customWidth="1"/>
    <col min="6388" max="6388" width="17.85546875" style="1" customWidth="1"/>
    <col min="6389" max="6390" width="1" style="1" customWidth="1"/>
    <col min="6391" max="6400" width="0" style="1" hidden="1" customWidth="1"/>
    <col min="6401" max="6402" width="1" style="1" customWidth="1"/>
    <col min="6403" max="6403" width="17.85546875" style="1" customWidth="1"/>
    <col min="6404" max="6407" width="1" style="1" customWidth="1"/>
    <col min="6408" max="6408" width="17.85546875" style="1" customWidth="1"/>
    <col min="6409" max="6410" width="1" style="1" customWidth="1"/>
    <col min="6411" max="6429" width="0" style="1" hidden="1" customWidth="1"/>
    <col min="6430" max="6430" width="1" style="1" customWidth="1"/>
    <col min="6431" max="6455" width="0" style="1" hidden="1" customWidth="1"/>
    <col min="6456" max="6457" width="1" style="1" customWidth="1"/>
    <col min="6458" max="6458" width="17.85546875" style="1" customWidth="1"/>
    <col min="6459" max="6460" width="1" style="1" customWidth="1"/>
    <col min="6461" max="6470" width="0" style="1" hidden="1" customWidth="1"/>
    <col min="6471" max="6472" width="1" style="1" customWidth="1"/>
    <col min="6473" max="6473" width="17.85546875" style="1" customWidth="1"/>
    <col min="6474" max="6475" width="1" style="1" customWidth="1"/>
    <col min="6476" max="6476" width="1.5703125" style="1" customWidth="1"/>
    <col min="6477" max="6477" width="0.7109375" style="1" customWidth="1"/>
    <col min="6478" max="6478" width="1.85546875" style="1" customWidth="1"/>
    <col min="6479" max="6479" width="10.7109375" style="1" customWidth="1"/>
    <col min="6480" max="6480" width="0" style="1" hidden="1" customWidth="1"/>
    <col min="6481" max="6586" width="10" style="1"/>
    <col min="6587" max="6587" width="1.5703125" style="1" customWidth="1"/>
    <col min="6588" max="6588" width="1.42578125" style="1" customWidth="1"/>
    <col min="6589" max="6589" width="57.5703125" style="1" customWidth="1"/>
    <col min="6590" max="6590" width="2.7109375" style="1" customWidth="1"/>
    <col min="6591" max="6591" width="0" style="1" hidden="1" customWidth="1"/>
    <col min="6592" max="6593" width="1" style="1" customWidth="1"/>
    <col min="6594" max="6594" width="19.7109375" style="1" customWidth="1"/>
    <col min="6595" max="6596" width="1" style="1" customWidth="1"/>
    <col min="6597" max="6641" width="0" style="1" hidden="1" customWidth="1"/>
    <col min="6642" max="6643" width="1" style="1" customWidth="1"/>
    <col min="6644" max="6644" width="17.85546875" style="1" customWidth="1"/>
    <col min="6645" max="6646" width="1" style="1" customWidth="1"/>
    <col min="6647" max="6656" width="0" style="1" hidden="1" customWidth="1"/>
    <col min="6657" max="6658" width="1" style="1" customWidth="1"/>
    <col min="6659" max="6659" width="17.85546875" style="1" customWidth="1"/>
    <col min="6660" max="6663" width="1" style="1" customWidth="1"/>
    <col min="6664" max="6664" width="17.85546875" style="1" customWidth="1"/>
    <col min="6665" max="6666" width="1" style="1" customWidth="1"/>
    <col min="6667" max="6685" width="0" style="1" hidden="1" customWidth="1"/>
    <col min="6686" max="6686" width="1" style="1" customWidth="1"/>
    <col min="6687" max="6711" width="0" style="1" hidden="1" customWidth="1"/>
    <col min="6712" max="6713" width="1" style="1" customWidth="1"/>
    <col min="6714" max="6714" width="17.85546875" style="1" customWidth="1"/>
    <col min="6715" max="6716" width="1" style="1" customWidth="1"/>
    <col min="6717" max="6726" width="0" style="1" hidden="1" customWidth="1"/>
    <col min="6727" max="6728" width="1" style="1" customWidth="1"/>
    <col min="6729" max="6729" width="17.85546875" style="1" customWidth="1"/>
    <col min="6730" max="6731" width="1" style="1" customWidth="1"/>
    <col min="6732" max="6732" width="1.5703125" style="1" customWidth="1"/>
    <col min="6733" max="6733" width="0.7109375" style="1" customWidth="1"/>
    <col min="6734" max="6734" width="1.85546875" style="1" customWidth="1"/>
    <col min="6735" max="6735" width="10.7109375" style="1" customWidth="1"/>
    <col min="6736" max="6736" width="0" style="1" hidden="1" customWidth="1"/>
    <col min="6737" max="6842" width="10" style="1"/>
    <col min="6843" max="6843" width="1.5703125" style="1" customWidth="1"/>
    <col min="6844" max="6844" width="1.42578125" style="1" customWidth="1"/>
    <col min="6845" max="6845" width="57.5703125" style="1" customWidth="1"/>
    <col min="6846" max="6846" width="2.7109375" style="1" customWidth="1"/>
    <col min="6847" max="6847" width="0" style="1" hidden="1" customWidth="1"/>
    <col min="6848" max="6849" width="1" style="1" customWidth="1"/>
    <col min="6850" max="6850" width="19.7109375" style="1" customWidth="1"/>
    <col min="6851" max="6852" width="1" style="1" customWidth="1"/>
    <col min="6853" max="6897" width="0" style="1" hidden="1" customWidth="1"/>
    <col min="6898" max="6899" width="1" style="1" customWidth="1"/>
    <col min="6900" max="6900" width="17.85546875" style="1" customWidth="1"/>
    <col min="6901" max="6902" width="1" style="1" customWidth="1"/>
    <col min="6903" max="6912" width="0" style="1" hidden="1" customWidth="1"/>
    <col min="6913" max="6914" width="1" style="1" customWidth="1"/>
    <col min="6915" max="6915" width="17.85546875" style="1" customWidth="1"/>
    <col min="6916" max="6919" width="1" style="1" customWidth="1"/>
    <col min="6920" max="6920" width="17.85546875" style="1" customWidth="1"/>
    <col min="6921" max="6922" width="1" style="1" customWidth="1"/>
    <col min="6923" max="6941" width="0" style="1" hidden="1" customWidth="1"/>
    <col min="6942" max="6942" width="1" style="1" customWidth="1"/>
    <col min="6943" max="6967" width="0" style="1" hidden="1" customWidth="1"/>
    <col min="6968" max="6969" width="1" style="1" customWidth="1"/>
    <col min="6970" max="6970" width="17.85546875" style="1" customWidth="1"/>
    <col min="6971" max="6972" width="1" style="1" customWidth="1"/>
    <col min="6973" max="6982" width="0" style="1" hidden="1" customWidth="1"/>
    <col min="6983" max="6984" width="1" style="1" customWidth="1"/>
    <col min="6985" max="6985" width="17.85546875" style="1" customWidth="1"/>
    <col min="6986" max="6987" width="1" style="1" customWidth="1"/>
    <col min="6988" max="6988" width="1.5703125" style="1" customWidth="1"/>
    <col min="6989" max="6989" width="0.7109375" style="1" customWidth="1"/>
    <col min="6990" max="6990" width="1.85546875" style="1" customWidth="1"/>
    <col min="6991" max="6991" width="10.7109375" style="1" customWidth="1"/>
    <col min="6992" max="6992" width="0" style="1" hidden="1" customWidth="1"/>
    <col min="6993" max="7098" width="10" style="1"/>
    <col min="7099" max="7099" width="1.5703125" style="1" customWidth="1"/>
    <col min="7100" max="7100" width="1.42578125" style="1" customWidth="1"/>
    <col min="7101" max="7101" width="57.5703125" style="1" customWidth="1"/>
    <col min="7102" max="7102" width="2.7109375" style="1" customWidth="1"/>
    <col min="7103" max="7103" width="0" style="1" hidden="1" customWidth="1"/>
    <col min="7104" max="7105" width="1" style="1" customWidth="1"/>
    <col min="7106" max="7106" width="19.7109375" style="1" customWidth="1"/>
    <col min="7107" max="7108" width="1" style="1" customWidth="1"/>
    <col min="7109" max="7153" width="0" style="1" hidden="1" customWidth="1"/>
    <col min="7154" max="7155" width="1" style="1" customWidth="1"/>
    <col min="7156" max="7156" width="17.85546875" style="1" customWidth="1"/>
    <col min="7157" max="7158" width="1" style="1" customWidth="1"/>
    <col min="7159" max="7168" width="0" style="1" hidden="1" customWidth="1"/>
    <col min="7169" max="7170" width="1" style="1" customWidth="1"/>
    <col min="7171" max="7171" width="17.85546875" style="1" customWidth="1"/>
    <col min="7172" max="7175" width="1" style="1" customWidth="1"/>
    <col min="7176" max="7176" width="17.85546875" style="1" customWidth="1"/>
    <col min="7177" max="7178" width="1" style="1" customWidth="1"/>
    <col min="7179" max="7197" width="0" style="1" hidden="1" customWidth="1"/>
    <col min="7198" max="7198" width="1" style="1" customWidth="1"/>
    <col min="7199" max="7223" width="0" style="1" hidden="1" customWidth="1"/>
    <col min="7224" max="7225" width="1" style="1" customWidth="1"/>
    <col min="7226" max="7226" width="17.85546875" style="1" customWidth="1"/>
    <col min="7227" max="7228" width="1" style="1" customWidth="1"/>
    <col min="7229" max="7238" width="0" style="1" hidden="1" customWidth="1"/>
    <col min="7239" max="7240" width="1" style="1" customWidth="1"/>
    <col min="7241" max="7241" width="17.85546875" style="1" customWidth="1"/>
    <col min="7242" max="7243" width="1" style="1" customWidth="1"/>
    <col min="7244" max="7244" width="1.5703125" style="1" customWidth="1"/>
    <col min="7245" max="7245" width="0.7109375" style="1" customWidth="1"/>
    <col min="7246" max="7246" width="1.85546875" style="1" customWidth="1"/>
    <col min="7247" max="7247" width="10.7109375" style="1" customWidth="1"/>
    <col min="7248" max="7248" width="0" style="1" hidden="1" customWidth="1"/>
    <col min="7249" max="7354" width="10" style="1"/>
    <col min="7355" max="7355" width="1.5703125" style="1" customWidth="1"/>
    <col min="7356" max="7356" width="1.42578125" style="1" customWidth="1"/>
    <col min="7357" max="7357" width="57.5703125" style="1" customWidth="1"/>
    <col min="7358" max="7358" width="2.7109375" style="1" customWidth="1"/>
    <col min="7359" max="7359" width="0" style="1" hidden="1" customWidth="1"/>
    <col min="7360" max="7361" width="1" style="1" customWidth="1"/>
    <col min="7362" max="7362" width="19.7109375" style="1" customWidth="1"/>
    <col min="7363" max="7364" width="1" style="1" customWidth="1"/>
    <col min="7365" max="7409" width="0" style="1" hidden="1" customWidth="1"/>
    <col min="7410" max="7411" width="1" style="1" customWidth="1"/>
    <col min="7412" max="7412" width="17.85546875" style="1" customWidth="1"/>
    <col min="7413" max="7414" width="1" style="1" customWidth="1"/>
    <col min="7415" max="7424" width="0" style="1" hidden="1" customWidth="1"/>
    <col min="7425" max="7426" width="1" style="1" customWidth="1"/>
    <col min="7427" max="7427" width="17.85546875" style="1" customWidth="1"/>
    <col min="7428" max="7431" width="1" style="1" customWidth="1"/>
    <col min="7432" max="7432" width="17.85546875" style="1" customWidth="1"/>
    <col min="7433" max="7434" width="1" style="1" customWidth="1"/>
    <col min="7435" max="7453" width="0" style="1" hidden="1" customWidth="1"/>
    <col min="7454" max="7454" width="1" style="1" customWidth="1"/>
    <col min="7455" max="7479" width="0" style="1" hidden="1" customWidth="1"/>
    <col min="7480" max="7481" width="1" style="1" customWidth="1"/>
    <col min="7482" max="7482" width="17.85546875" style="1" customWidth="1"/>
    <col min="7483" max="7484" width="1" style="1" customWidth="1"/>
    <col min="7485" max="7494" width="0" style="1" hidden="1" customWidth="1"/>
    <col min="7495" max="7496" width="1" style="1" customWidth="1"/>
    <col min="7497" max="7497" width="17.85546875" style="1" customWidth="1"/>
    <col min="7498" max="7499" width="1" style="1" customWidth="1"/>
    <col min="7500" max="7500" width="1.5703125" style="1" customWidth="1"/>
    <col min="7501" max="7501" width="0.7109375" style="1" customWidth="1"/>
    <col min="7502" max="7502" width="1.85546875" style="1" customWidth="1"/>
    <col min="7503" max="7503" width="10.7109375" style="1" customWidth="1"/>
    <col min="7504" max="7504" width="0" style="1" hidden="1" customWidth="1"/>
    <col min="7505" max="7610" width="10" style="1"/>
    <col min="7611" max="7611" width="1.5703125" style="1" customWidth="1"/>
    <col min="7612" max="7612" width="1.42578125" style="1" customWidth="1"/>
    <col min="7613" max="7613" width="57.5703125" style="1" customWidth="1"/>
    <col min="7614" max="7614" width="2.7109375" style="1" customWidth="1"/>
    <col min="7615" max="7615" width="0" style="1" hidden="1" customWidth="1"/>
    <col min="7616" max="7617" width="1" style="1" customWidth="1"/>
    <col min="7618" max="7618" width="19.7109375" style="1" customWidth="1"/>
    <col min="7619" max="7620" width="1" style="1" customWidth="1"/>
    <col min="7621" max="7665" width="0" style="1" hidden="1" customWidth="1"/>
    <col min="7666" max="7667" width="1" style="1" customWidth="1"/>
    <col min="7668" max="7668" width="17.85546875" style="1" customWidth="1"/>
    <col min="7669" max="7670" width="1" style="1" customWidth="1"/>
    <col min="7671" max="7680" width="0" style="1" hidden="1" customWidth="1"/>
    <col min="7681" max="7682" width="1" style="1" customWidth="1"/>
    <col min="7683" max="7683" width="17.85546875" style="1" customWidth="1"/>
    <col min="7684" max="7687" width="1" style="1" customWidth="1"/>
    <col min="7688" max="7688" width="17.85546875" style="1" customWidth="1"/>
    <col min="7689" max="7690" width="1" style="1" customWidth="1"/>
    <col min="7691" max="7709" width="0" style="1" hidden="1" customWidth="1"/>
    <col min="7710" max="7710" width="1" style="1" customWidth="1"/>
    <col min="7711" max="7735" width="0" style="1" hidden="1" customWidth="1"/>
    <col min="7736" max="7737" width="1" style="1" customWidth="1"/>
    <col min="7738" max="7738" width="17.85546875" style="1" customWidth="1"/>
    <col min="7739" max="7740" width="1" style="1" customWidth="1"/>
    <col min="7741" max="7750" width="0" style="1" hidden="1" customWidth="1"/>
    <col min="7751" max="7752" width="1" style="1" customWidth="1"/>
    <col min="7753" max="7753" width="17.85546875" style="1" customWidth="1"/>
    <col min="7754" max="7755" width="1" style="1" customWidth="1"/>
    <col min="7756" max="7756" width="1.5703125" style="1" customWidth="1"/>
    <col min="7757" max="7757" width="0.7109375" style="1" customWidth="1"/>
    <col min="7758" max="7758" width="1.85546875" style="1" customWidth="1"/>
    <col min="7759" max="7759" width="10.7109375" style="1" customWidth="1"/>
    <col min="7760" max="7760" width="0" style="1" hidden="1" customWidth="1"/>
    <col min="7761" max="7866" width="10" style="1"/>
    <col min="7867" max="7867" width="1.5703125" style="1" customWidth="1"/>
    <col min="7868" max="7868" width="1.42578125" style="1" customWidth="1"/>
    <col min="7869" max="7869" width="57.5703125" style="1" customWidth="1"/>
    <col min="7870" max="7870" width="2.7109375" style="1" customWidth="1"/>
    <col min="7871" max="7871" width="0" style="1" hidden="1" customWidth="1"/>
    <col min="7872" max="7873" width="1" style="1" customWidth="1"/>
    <col min="7874" max="7874" width="19.7109375" style="1" customWidth="1"/>
    <col min="7875" max="7876" width="1" style="1" customWidth="1"/>
    <col min="7877" max="7921" width="0" style="1" hidden="1" customWidth="1"/>
    <col min="7922" max="7923" width="1" style="1" customWidth="1"/>
    <col min="7924" max="7924" width="17.85546875" style="1" customWidth="1"/>
    <col min="7925" max="7926" width="1" style="1" customWidth="1"/>
    <col min="7927" max="7936" width="0" style="1" hidden="1" customWidth="1"/>
    <col min="7937" max="7938" width="1" style="1" customWidth="1"/>
    <col min="7939" max="7939" width="17.85546875" style="1" customWidth="1"/>
    <col min="7940" max="7943" width="1" style="1" customWidth="1"/>
    <col min="7944" max="7944" width="17.85546875" style="1" customWidth="1"/>
    <col min="7945" max="7946" width="1" style="1" customWidth="1"/>
    <col min="7947" max="7965" width="0" style="1" hidden="1" customWidth="1"/>
    <col min="7966" max="7966" width="1" style="1" customWidth="1"/>
    <col min="7967" max="7991" width="0" style="1" hidden="1" customWidth="1"/>
    <col min="7992" max="7993" width="1" style="1" customWidth="1"/>
    <col min="7994" max="7994" width="17.85546875" style="1" customWidth="1"/>
    <col min="7995" max="7996" width="1" style="1" customWidth="1"/>
    <col min="7997" max="8006" width="0" style="1" hidden="1" customWidth="1"/>
    <col min="8007" max="8008" width="1" style="1" customWidth="1"/>
    <col min="8009" max="8009" width="17.85546875" style="1" customWidth="1"/>
    <col min="8010" max="8011" width="1" style="1" customWidth="1"/>
    <col min="8012" max="8012" width="1.5703125" style="1" customWidth="1"/>
    <col min="8013" max="8013" width="0.7109375" style="1" customWidth="1"/>
    <col min="8014" max="8014" width="1.85546875" style="1" customWidth="1"/>
    <col min="8015" max="8015" width="10.7109375" style="1" customWidth="1"/>
    <col min="8016" max="8016" width="0" style="1" hidden="1" customWidth="1"/>
    <col min="8017" max="8122" width="10" style="1"/>
    <col min="8123" max="8123" width="1.5703125" style="1" customWidth="1"/>
    <col min="8124" max="8124" width="1.42578125" style="1" customWidth="1"/>
    <col min="8125" max="8125" width="57.5703125" style="1" customWidth="1"/>
    <col min="8126" max="8126" width="2.7109375" style="1" customWidth="1"/>
    <col min="8127" max="8127" width="0" style="1" hidden="1" customWidth="1"/>
    <col min="8128" max="8129" width="1" style="1" customWidth="1"/>
    <col min="8130" max="8130" width="19.7109375" style="1" customWidth="1"/>
    <col min="8131" max="8132" width="1" style="1" customWidth="1"/>
    <col min="8133" max="8177" width="0" style="1" hidden="1" customWidth="1"/>
    <col min="8178" max="8179" width="1" style="1" customWidth="1"/>
    <col min="8180" max="8180" width="17.85546875" style="1" customWidth="1"/>
    <col min="8181" max="8182" width="1" style="1" customWidth="1"/>
    <col min="8183" max="8192" width="0" style="1" hidden="1" customWidth="1"/>
    <col min="8193" max="8194" width="1" style="1" customWidth="1"/>
    <col min="8195" max="8195" width="17.85546875" style="1" customWidth="1"/>
    <col min="8196" max="8199" width="1" style="1" customWidth="1"/>
    <col min="8200" max="8200" width="17.85546875" style="1" customWidth="1"/>
    <col min="8201" max="8202" width="1" style="1" customWidth="1"/>
    <col min="8203" max="8221" width="0" style="1" hidden="1" customWidth="1"/>
    <col min="8222" max="8222" width="1" style="1" customWidth="1"/>
    <col min="8223" max="8247" width="0" style="1" hidden="1" customWidth="1"/>
    <col min="8248" max="8249" width="1" style="1" customWidth="1"/>
    <col min="8250" max="8250" width="17.85546875" style="1" customWidth="1"/>
    <col min="8251" max="8252" width="1" style="1" customWidth="1"/>
    <col min="8253" max="8262" width="0" style="1" hidden="1" customWidth="1"/>
    <col min="8263" max="8264" width="1" style="1" customWidth="1"/>
    <col min="8265" max="8265" width="17.85546875" style="1" customWidth="1"/>
    <col min="8266" max="8267" width="1" style="1" customWidth="1"/>
    <col min="8268" max="8268" width="1.5703125" style="1" customWidth="1"/>
    <col min="8269" max="8269" width="0.7109375" style="1" customWidth="1"/>
    <col min="8270" max="8270" width="1.85546875" style="1" customWidth="1"/>
    <col min="8271" max="8271" width="10.7109375" style="1" customWidth="1"/>
    <col min="8272" max="8272" width="0" style="1" hidden="1" customWidth="1"/>
    <col min="8273" max="8378" width="10" style="1"/>
    <col min="8379" max="8379" width="1.5703125" style="1" customWidth="1"/>
    <col min="8380" max="8380" width="1.42578125" style="1" customWidth="1"/>
    <col min="8381" max="8381" width="57.5703125" style="1" customWidth="1"/>
    <col min="8382" max="8382" width="2.7109375" style="1" customWidth="1"/>
    <col min="8383" max="8383" width="0" style="1" hidden="1" customWidth="1"/>
    <col min="8384" max="8385" width="1" style="1" customWidth="1"/>
    <col min="8386" max="8386" width="19.7109375" style="1" customWidth="1"/>
    <col min="8387" max="8388" width="1" style="1" customWidth="1"/>
    <col min="8389" max="8433" width="0" style="1" hidden="1" customWidth="1"/>
    <col min="8434" max="8435" width="1" style="1" customWidth="1"/>
    <col min="8436" max="8436" width="17.85546875" style="1" customWidth="1"/>
    <col min="8437" max="8438" width="1" style="1" customWidth="1"/>
    <col min="8439" max="8448" width="0" style="1" hidden="1" customWidth="1"/>
    <col min="8449" max="8450" width="1" style="1" customWidth="1"/>
    <col min="8451" max="8451" width="17.85546875" style="1" customWidth="1"/>
    <col min="8452" max="8455" width="1" style="1" customWidth="1"/>
    <col min="8456" max="8456" width="17.85546875" style="1" customWidth="1"/>
    <col min="8457" max="8458" width="1" style="1" customWidth="1"/>
    <col min="8459" max="8477" width="0" style="1" hidden="1" customWidth="1"/>
    <col min="8478" max="8478" width="1" style="1" customWidth="1"/>
    <col min="8479" max="8503" width="0" style="1" hidden="1" customWidth="1"/>
    <col min="8504" max="8505" width="1" style="1" customWidth="1"/>
    <col min="8506" max="8506" width="17.85546875" style="1" customWidth="1"/>
    <col min="8507" max="8508" width="1" style="1" customWidth="1"/>
    <col min="8509" max="8518" width="0" style="1" hidden="1" customWidth="1"/>
    <col min="8519" max="8520" width="1" style="1" customWidth="1"/>
    <col min="8521" max="8521" width="17.85546875" style="1" customWidth="1"/>
    <col min="8522" max="8523" width="1" style="1" customWidth="1"/>
    <col min="8524" max="8524" width="1.5703125" style="1" customWidth="1"/>
    <col min="8525" max="8525" width="0.7109375" style="1" customWidth="1"/>
    <col min="8526" max="8526" width="1.85546875" style="1" customWidth="1"/>
    <col min="8527" max="8527" width="10.7109375" style="1" customWidth="1"/>
    <col min="8528" max="8528" width="0" style="1" hidden="1" customWidth="1"/>
    <col min="8529" max="8634" width="10" style="1"/>
    <col min="8635" max="8635" width="1.5703125" style="1" customWidth="1"/>
    <col min="8636" max="8636" width="1.42578125" style="1" customWidth="1"/>
    <col min="8637" max="8637" width="57.5703125" style="1" customWidth="1"/>
    <col min="8638" max="8638" width="2.7109375" style="1" customWidth="1"/>
    <col min="8639" max="8639" width="0" style="1" hidden="1" customWidth="1"/>
    <col min="8640" max="8641" width="1" style="1" customWidth="1"/>
    <col min="8642" max="8642" width="19.7109375" style="1" customWidth="1"/>
    <col min="8643" max="8644" width="1" style="1" customWidth="1"/>
    <col min="8645" max="8689" width="0" style="1" hidden="1" customWidth="1"/>
    <col min="8690" max="8691" width="1" style="1" customWidth="1"/>
    <col min="8692" max="8692" width="17.85546875" style="1" customWidth="1"/>
    <col min="8693" max="8694" width="1" style="1" customWidth="1"/>
    <col min="8695" max="8704" width="0" style="1" hidden="1" customWidth="1"/>
    <col min="8705" max="8706" width="1" style="1" customWidth="1"/>
    <col min="8707" max="8707" width="17.85546875" style="1" customWidth="1"/>
    <col min="8708" max="8711" width="1" style="1" customWidth="1"/>
    <col min="8712" max="8712" width="17.85546875" style="1" customWidth="1"/>
    <col min="8713" max="8714" width="1" style="1" customWidth="1"/>
    <col min="8715" max="8733" width="0" style="1" hidden="1" customWidth="1"/>
    <col min="8734" max="8734" width="1" style="1" customWidth="1"/>
    <col min="8735" max="8759" width="0" style="1" hidden="1" customWidth="1"/>
    <col min="8760" max="8761" width="1" style="1" customWidth="1"/>
    <col min="8762" max="8762" width="17.85546875" style="1" customWidth="1"/>
    <col min="8763" max="8764" width="1" style="1" customWidth="1"/>
    <col min="8765" max="8774" width="0" style="1" hidden="1" customWidth="1"/>
    <col min="8775" max="8776" width="1" style="1" customWidth="1"/>
    <col min="8777" max="8777" width="17.85546875" style="1" customWidth="1"/>
    <col min="8778" max="8779" width="1" style="1" customWidth="1"/>
    <col min="8780" max="8780" width="1.5703125" style="1" customWidth="1"/>
    <col min="8781" max="8781" width="0.7109375" style="1" customWidth="1"/>
    <col min="8782" max="8782" width="1.85546875" style="1" customWidth="1"/>
    <col min="8783" max="8783" width="10.7109375" style="1" customWidth="1"/>
    <col min="8784" max="8784" width="0" style="1" hidden="1" customWidth="1"/>
    <col min="8785" max="8890" width="10" style="1"/>
    <col min="8891" max="8891" width="1.5703125" style="1" customWidth="1"/>
    <col min="8892" max="8892" width="1.42578125" style="1" customWidth="1"/>
    <col min="8893" max="8893" width="57.5703125" style="1" customWidth="1"/>
    <col min="8894" max="8894" width="2.7109375" style="1" customWidth="1"/>
    <col min="8895" max="8895" width="0" style="1" hidden="1" customWidth="1"/>
    <col min="8896" max="8897" width="1" style="1" customWidth="1"/>
    <col min="8898" max="8898" width="19.7109375" style="1" customWidth="1"/>
    <col min="8899" max="8900" width="1" style="1" customWidth="1"/>
    <col min="8901" max="8945" width="0" style="1" hidden="1" customWidth="1"/>
    <col min="8946" max="8947" width="1" style="1" customWidth="1"/>
    <col min="8948" max="8948" width="17.85546875" style="1" customWidth="1"/>
    <col min="8949" max="8950" width="1" style="1" customWidth="1"/>
    <col min="8951" max="8960" width="0" style="1" hidden="1" customWidth="1"/>
    <col min="8961" max="8962" width="1" style="1" customWidth="1"/>
    <col min="8963" max="8963" width="17.85546875" style="1" customWidth="1"/>
    <col min="8964" max="8967" width="1" style="1" customWidth="1"/>
    <col min="8968" max="8968" width="17.85546875" style="1" customWidth="1"/>
    <col min="8969" max="8970" width="1" style="1" customWidth="1"/>
    <col min="8971" max="8989" width="0" style="1" hidden="1" customWidth="1"/>
    <col min="8990" max="8990" width="1" style="1" customWidth="1"/>
    <col min="8991" max="9015" width="0" style="1" hidden="1" customWidth="1"/>
    <col min="9016" max="9017" width="1" style="1" customWidth="1"/>
    <col min="9018" max="9018" width="17.85546875" style="1" customWidth="1"/>
    <col min="9019" max="9020" width="1" style="1" customWidth="1"/>
    <col min="9021" max="9030" width="0" style="1" hidden="1" customWidth="1"/>
    <col min="9031" max="9032" width="1" style="1" customWidth="1"/>
    <col min="9033" max="9033" width="17.85546875" style="1" customWidth="1"/>
    <col min="9034" max="9035" width="1" style="1" customWidth="1"/>
    <col min="9036" max="9036" width="1.5703125" style="1" customWidth="1"/>
    <col min="9037" max="9037" width="0.7109375" style="1" customWidth="1"/>
    <col min="9038" max="9038" width="1.85546875" style="1" customWidth="1"/>
    <col min="9039" max="9039" width="10.7109375" style="1" customWidth="1"/>
    <col min="9040" max="9040" width="0" style="1" hidden="1" customWidth="1"/>
    <col min="9041" max="9146" width="10" style="1"/>
    <col min="9147" max="9147" width="1.5703125" style="1" customWidth="1"/>
    <col min="9148" max="9148" width="1.42578125" style="1" customWidth="1"/>
    <col min="9149" max="9149" width="57.5703125" style="1" customWidth="1"/>
    <col min="9150" max="9150" width="2.7109375" style="1" customWidth="1"/>
    <col min="9151" max="9151" width="0" style="1" hidden="1" customWidth="1"/>
    <col min="9152" max="9153" width="1" style="1" customWidth="1"/>
    <col min="9154" max="9154" width="19.7109375" style="1" customWidth="1"/>
    <col min="9155" max="9156" width="1" style="1" customWidth="1"/>
    <col min="9157" max="9201" width="0" style="1" hidden="1" customWidth="1"/>
    <col min="9202" max="9203" width="1" style="1" customWidth="1"/>
    <col min="9204" max="9204" width="17.85546875" style="1" customWidth="1"/>
    <col min="9205" max="9206" width="1" style="1" customWidth="1"/>
    <col min="9207" max="9216" width="0" style="1" hidden="1" customWidth="1"/>
    <col min="9217" max="9218" width="1" style="1" customWidth="1"/>
    <col min="9219" max="9219" width="17.85546875" style="1" customWidth="1"/>
    <col min="9220" max="9223" width="1" style="1" customWidth="1"/>
    <col min="9224" max="9224" width="17.85546875" style="1" customWidth="1"/>
    <col min="9225" max="9226" width="1" style="1" customWidth="1"/>
    <col min="9227" max="9245" width="0" style="1" hidden="1" customWidth="1"/>
    <col min="9246" max="9246" width="1" style="1" customWidth="1"/>
    <col min="9247" max="9271" width="0" style="1" hidden="1" customWidth="1"/>
    <col min="9272" max="9273" width="1" style="1" customWidth="1"/>
    <col min="9274" max="9274" width="17.85546875" style="1" customWidth="1"/>
    <col min="9275" max="9276" width="1" style="1" customWidth="1"/>
    <col min="9277" max="9286" width="0" style="1" hidden="1" customWidth="1"/>
    <col min="9287" max="9288" width="1" style="1" customWidth="1"/>
    <col min="9289" max="9289" width="17.85546875" style="1" customWidth="1"/>
    <col min="9290" max="9291" width="1" style="1" customWidth="1"/>
    <col min="9292" max="9292" width="1.5703125" style="1" customWidth="1"/>
    <col min="9293" max="9293" width="0.7109375" style="1" customWidth="1"/>
    <col min="9294" max="9294" width="1.85546875" style="1" customWidth="1"/>
    <col min="9295" max="9295" width="10.7109375" style="1" customWidth="1"/>
    <col min="9296" max="9296" width="0" style="1" hidden="1" customWidth="1"/>
    <col min="9297" max="9402" width="10" style="1"/>
    <col min="9403" max="9403" width="1.5703125" style="1" customWidth="1"/>
    <col min="9404" max="9404" width="1.42578125" style="1" customWidth="1"/>
    <col min="9405" max="9405" width="57.5703125" style="1" customWidth="1"/>
    <col min="9406" max="9406" width="2.7109375" style="1" customWidth="1"/>
    <col min="9407" max="9407" width="0" style="1" hidden="1" customWidth="1"/>
    <col min="9408" max="9409" width="1" style="1" customWidth="1"/>
    <col min="9410" max="9410" width="19.7109375" style="1" customWidth="1"/>
    <col min="9411" max="9412" width="1" style="1" customWidth="1"/>
    <col min="9413" max="9457" width="0" style="1" hidden="1" customWidth="1"/>
    <col min="9458" max="9459" width="1" style="1" customWidth="1"/>
    <col min="9460" max="9460" width="17.85546875" style="1" customWidth="1"/>
    <col min="9461" max="9462" width="1" style="1" customWidth="1"/>
    <col min="9463" max="9472" width="0" style="1" hidden="1" customWidth="1"/>
    <col min="9473" max="9474" width="1" style="1" customWidth="1"/>
    <col min="9475" max="9475" width="17.85546875" style="1" customWidth="1"/>
    <col min="9476" max="9479" width="1" style="1" customWidth="1"/>
    <col min="9480" max="9480" width="17.85546875" style="1" customWidth="1"/>
    <col min="9481" max="9482" width="1" style="1" customWidth="1"/>
    <col min="9483" max="9501" width="0" style="1" hidden="1" customWidth="1"/>
    <col min="9502" max="9502" width="1" style="1" customWidth="1"/>
    <col min="9503" max="9527" width="0" style="1" hidden="1" customWidth="1"/>
    <col min="9528" max="9529" width="1" style="1" customWidth="1"/>
    <col min="9530" max="9530" width="17.85546875" style="1" customWidth="1"/>
    <col min="9531" max="9532" width="1" style="1" customWidth="1"/>
    <col min="9533" max="9542" width="0" style="1" hidden="1" customWidth="1"/>
    <col min="9543" max="9544" width="1" style="1" customWidth="1"/>
    <col min="9545" max="9545" width="17.85546875" style="1" customWidth="1"/>
    <col min="9546" max="9547" width="1" style="1" customWidth="1"/>
    <col min="9548" max="9548" width="1.5703125" style="1" customWidth="1"/>
    <col min="9549" max="9549" width="0.7109375" style="1" customWidth="1"/>
    <col min="9550" max="9550" width="1.85546875" style="1" customWidth="1"/>
    <col min="9551" max="9551" width="10.7109375" style="1" customWidth="1"/>
    <col min="9552" max="9552" width="0" style="1" hidden="1" customWidth="1"/>
    <col min="9553" max="9658" width="10" style="1"/>
    <col min="9659" max="9659" width="1.5703125" style="1" customWidth="1"/>
    <col min="9660" max="9660" width="1.42578125" style="1" customWidth="1"/>
    <col min="9661" max="9661" width="57.5703125" style="1" customWidth="1"/>
    <col min="9662" max="9662" width="2.7109375" style="1" customWidth="1"/>
    <col min="9663" max="9663" width="0" style="1" hidden="1" customWidth="1"/>
    <col min="9664" max="9665" width="1" style="1" customWidth="1"/>
    <col min="9666" max="9666" width="19.7109375" style="1" customWidth="1"/>
    <col min="9667" max="9668" width="1" style="1" customWidth="1"/>
    <col min="9669" max="9713" width="0" style="1" hidden="1" customWidth="1"/>
    <col min="9714" max="9715" width="1" style="1" customWidth="1"/>
    <col min="9716" max="9716" width="17.85546875" style="1" customWidth="1"/>
    <col min="9717" max="9718" width="1" style="1" customWidth="1"/>
    <col min="9719" max="9728" width="0" style="1" hidden="1" customWidth="1"/>
    <col min="9729" max="9730" width="1" style="1" customWidth="1"/>
    <col min="9731" max="9731" width="17.85546875" style="1" customWidth="1"/>
    <col min="9732" max="9735" width="1" style="1" customWidth="1"/>
    <col min="9736" max="9736" width="17.85546875" style="1" customWidth="1"/>
    <col min="9737" max="9738" width="1" style="1" customWidth="1"/>
    <col min="9739" max="9757" width="0" style="1" hidden="1" customWidth="1"/>
    <col min="9758" max="9758" width="1" style="1" customWidth="1"/>
    <col min="9759" max="9783" width="0" style="1" hidden="1" customWidth="1"/>
    <col min="9784" max="9785" width="1" style="1" customWidth="1"/>
    <col min="9786" max="9786" width="17.85546875" style="1" customWidth="1"/>
    <col min="9787" max="9788" width="1" style="1" customWidth="1"/>
    <col min="9789" max="9798" width="0" style="1" hidden="1" customWidth="1"/>
    <col min="9799" max="9800" width="1" style="1" customWidth="1"/>
    <col min="9801" max="9801" width="17.85546875" style="1" customWidth="1"/>
    <col min="9802" max="9803" width="1" style="1" customWidth="1"/>
    <col min="9804" max="9804" width="1.5703125" style="1" customWidth="1"/>
    <col min="9805" max="9805" width="0.7109375" style="1" customWidth="1"/>
    <col min="9806" max="9806" width="1.85546875" style="1" customWidth="1"/>
    <col min="9807" max="9807" width="10.7109375" style="1" customWidth="1"/>
    <col min="9808" max="9808" width="0" style="1" hidden="1" customWidth="1"/>
    <col min="9809" max="9914" width="10" style="1"/>
    <col min="9915" max="9915" width="1.5703125" style="1" customWidth="1"/>
    <col min="9916" max="9916" width="1.42578125" style="1" customWidth="1"/>
    <col min="9917" max="9917" width="57.5703125" style="1" customWidth="1"/>
    <col min="9918" max="9918" width="2.7109375" style="1" customWidth="1"/>
    <col min="9919" max="9919" width="0" style="1" hidden="1" customWidth="1"/>
    <col min="9920" max="9921" width="1" style="1" customWidth="1"/>
    <col min="9922" max="9922" width="19.7109375" style="1" customWidth="1"/>
    <col min="9923" max="9924" width="1" style="1" customWidth="1"/>
    <col min="9925" max="9969" width="0" style="1" hidden="1" customWidth="1"/>
    <col min="9970" max="9971" width="1" style="1" customWidth="1"/>
    <col min="9972" max="9972" width="17.85546875" style="1" customWidth="1"/>
    <col min="9973" max="9974" width="1" style="1" customWidth="1"/>
    <col min="9975" max="9984" width="0" style="1" hidden="1" customWidth="1"/>
    <col min="9985" max="9986" width="1" style="1" customWidth="1"/>
    <col min="9987" max="9987" width="17.85546875" style="1" customWidth="1"/>
    <col min="9988" max="9991" width="1" style="1" customWidth="1"/>
    <col min="9992" max="9992" width="17.85546875" style="1" customWidth="1"/>
    <col min="9993" max="9994" width="1" style="1" customWidth="1"/>
    <col min="9995" max="10013" width="0" style="1" hidden="1" customWidth="1"/>
    <col min="10014" max="10014" width="1" style="1" customWidth="1"/>
    <col min="10015" max="10039" width="0" style="1" hidden="1" customWidth="1"/>
    <col min="10040" max="10041" width="1" style="1" customWidth="1"/>
    <col min="10042" max="10042" width="17.85546875" style="1" customWidth="1"/>
    <col min="10043" max="10044" width="1" style="1" customWidth="1"/>
    <col min="10045" max="10054" width="0" style="1" hidden="1" customWidth="1"/>
    <col min="10055" max="10056" width="1" style="1" customWidth="1"/>
    <col min="10057" max="10057" width="17.85546875" style="1" customWidth="1"/>
    <col min="10058" max="10059" width="1" style="1" customWidth="1"/>
    <col min="10060" max="10060" width="1.5703125" style="1" customWidth="1"/>
    <col min="10061" max="10061" width="0.7109375" style="1" customWidth="1"/>
    <col min="10062" max="10062" width="1.85546875" style="1" customWidth="1"/>
    <col min="10063" max="10063" width="10.7109375" style="1" customWidth="1"/>
    <col min="10064" max="10064" width="0" style="1" hidden="1" customWidth="1"/>
    <col min="10065" max="10170" width="10" style="1"/>
    <col min="10171" max="10171" width="1.5703125" style="1" customWidth="1"/>
    <col min="10172" max="10172" width="1.42578125" style="1" customWidth="1"/>
    <col min="10173" max="10173" width="57.5703125" style="1" customWidth="1"/>
    <col min="10174" max="10174" width="2.7109375" style="1" customWidth="1"/>
    <col min="10175" max="10175" width="0" style="1" hidden="1" customWidth="1"/>
    <col min="10176" max="10177" width="1" style="1" customWidth="1"/>
    <col min="10178" max="10178" width="19.7109375" style="1" customWidth="1"/>
    <col min="10179" max="10180" width="1" style="1" customWidth="1"/>
    <col min="10181" max="10225" width="0" style="1" hidden="1" customWidth="1"/>
    <col min="10226" max="10227" width="1" style="1" customWidth="1"/>
    <col min="10228" max="10228" width="17.85546875" style="1" customWidth="1"/>
    <col min="10229" max="10230" width="1" style="1" customWidth="1"/>
    <col min="10231" max="10240" width="0" style="1" hidden="1" customWidth="1"/>
    <col min="10241" max="10242" width="1" style="1" customWidth="1"/>
    <col min="10243" max="10243" width="17.85546875" style="1" customWidth="1"/>
    <col min="10244" max="10247" width="1" style="1" customWidth="1"/>
    <col min="10248" max="10248" width="17.85546875" style="1" customWidth="1"/>
    <col min="10249" max="10250" width="1" style="1" customWidth="1"/>
    <col min="10251" max="10269" width="0" style="1" hidden="1" customWidth="1"/>
    <col min="10270" max="10270" width="1" style="1" customWidth="1"/>
    <col min="10271" max="10295" width="0" style="1" hidden="1" customWidth="1"/>
    <col min="10296" max="10297" width="1" style="1" customWidth="1"/>
    <col min="10298" max="10298" width="17.85546875" style="1" customWidth="1"/>
    <col min="10299" max="10300" width="1" style="1" customWidth="1"/>
    <col min="10301" max="10310" width="0" style="1" hidden="1" customWidth="1"/>
    <col min="10311" max="10312" width="1" style="1" customWidth="1"/>
    <col min="10313" max="10313" width="17.85546875" style="1" customWidth="1"/>
    <col min="10314" max="10315" width="1" style="1" customWidth="1"/>
    <col min="10316" max="10316" width="1.5703125" style="1" customWidth="1"/>
    <col min="10317" max="10317" width="0.7109375" style="1" customWidth="1"/>
    <col min="10318" max="10318" width="1.85546875" style="1" customWidth="1"/>
    <col min="10319" max="10319" width="10.7109375" style="1" customWidth="1"/>
    <col min="10320" max="10320" width="0" style="1" hidden="1" customWidth="1"/>
    <col min="10321" max="10426" width="10" style="1"/>
    <col min="10427" max="10427" width="1.5703125" style="1" customWidth="1"/>
    <col min="10428" max="10428" width="1.42578125" style="1" customWidth="1"/>
    <col min="10429" max="10429" width="57.5703125" style="1" customWidth="1"/>
    <col min="10430" max="10430" width="2.7109375" style="1" customWidth="1"/>
    <col min="10431" max="10431" width="0" style="1" hidden="1" customWidth="1"/>
    <col min="10432" max="10433" width="1" style="1" customWidth="1"/>
    <col min="10434" max="10434" width="19.7109375" style="1" customWidth="1"/>
    <col min="10435" max="10436" width="1" style="1" customWidth="1"/>
    <col min="10437" max="10481" width="0" style="1" hidden="1" customWidth="1"/>
    <col min="10482" max="10483" width="1" style="1" customWidth="1"/>
    <col min="10484" max="10484" width="17.85546875" style="1" customWidth="1"/>
    <col min="10485" max="10486" width="1" style="1" customWidth="1"/>
    <col min="10487" max="10496" width="0" style="1" hidden="1" customWidth="1"/>
    <col min="10497" max="10498" width="1" style="1" customWidth="1"/>
    <col min="10499" max="10499" width="17.85546875" style="1" customWidth="1"/>
    <col min="10500" max="10503" width="1" style="1" customWidth="1"/>
    <col min="10504" max="10504" width="17.85546875" style="1" customWidth="1"/>
    <col min="10505" max="10506" width="1" style="1" customWidth="1"/>
    <col min="10507" max="10525" width="0" style="1" hidden="1" customWidth="1"/>
    <col min="10526" max="10526" width="1" style="1" customWidth="1"/>
    <col min="10527" max="10551" width="0" style="1" hidden="1" customWidth="1"/>
    <col min="10552" max="10553" width="1" style="1" customWidth="1"/>
    <col min="10554" max="10554" width="17.85546875" style="1" customWidth="1"/>
    <col min="10555" max="10556" width="1" style="1" customWidth="1"/>
    <col min="10557" max="10566" width="0" style="1" hidden="1" customWidth="1"/>
    <col min="10567" max="10568" width="1" style="1" customWidth="1"/>
    <col min="10569" max="10569" width="17.85546875" style="1" customWidth="1"/>
    <col min="10570" max="10571" width="1" style="1" customWidth="1"/>
    <col min="10572" max="10572" width="1.5703125" style="1" customWidth="1"/>
    <col min="10573" max="10573" width="0.7109375" style="1" customWidth="1"/>
    <col min="10574" max="10574" width="1.85546875" style="1" customWidth="1"/>
    <col min="10575" max="10575" width="10.7109375" style="1" customWidth="1"/>
    <col min="10576" max="10576" width="0" style="1" hidden="1" customWidth="1"/>
    <col min="10577" max="10682" width="10" style="1"/>
    <col min="10683" max="10683" width="1.5703125" style="1" customWidth="1"/>
    <col min="10684" max="10684" width="1.42578125" style="1" customWidth="1"/>
    <col min="10685" max="10685" width="57.5703125" style="1" customWidth="1"/>
    <col min="10686" max="10686" width="2.7109375" style="1" customWidth="1"/>
    <col min="10687" max="10687" width="0" style="1" hidden="1" customWidth="1"/>
    <col min="10688" max="10689" width="1" style="1" customWidth="1"/>
    <col min="10690" max="10690" width="19.7109375" style="1" customWidth="1"/>
    <col min="10691" max="10692" width="1" style="1" customWidth="1"/>
    <col min="10693" max="10737" width="0" style="1" hidden="1" customWidth="1"/>
    <col min="10738" max="10739" width="1" style="1" customWidth="1"/>
    <col min="10740" max="10740" width="17.85546875" style="1" customWidth="1"/>
    <col min="10741" max="10742" width="1" style="1" customWidth="1"/>
    <col min="10743" max="10752" width="0" style="1" hidden="1" customWidth="1"/>
    <col min="10753" max="10754" width="1" style="1" customWidth="1"/>
    <col min="10755" max="10755" width="17.85546875" style="1" customWidth="1"/>
    <col min="10756" max="10759" width="1" style="1" customWidth="1"/>
    <col min="10760" max="10760" width="17.85546875" style="1" customWidth="1"/>
    <col min="10761" max="10762" width="1" style="1" customWidth="1"/>
    <col min="10763" max="10781" width="0" style="1" hidden="1" customWidth="1"/>
    <col min="10782" max="10782" width="1" style="1" customWidth="1"/>
    <col min="10783" max="10807" width="0" style="1" hidden="1" customWidth="1"/>
    <col min="10808" max="10809" width="1" style="1" customWidth="1"/>
    <col min="10810" max="10810" width="17.85546875" style="1" customWidth="1"/>
    <col min="10811" max="10812" width="1" style="1" customWidth="1"/>
    <col min="10813" max="10822" width="0" style="1" hidden="1" customWidth="1"/>
    <col min="10823" max="10824" width="1" style="1" customWidth="1"/>
    <col min="10825" max="10825" width="17.85546875" style="1" customWidth="1"/>
    <col min="10826" max="10827" width="1" style="1" customWidth="1"/>
    <col min="10828" max="10828" width="1.5703125" style="1" customWidth="1"/>
    <col min="10829" max="10829" width="0.7109375" style="1" customWidth="1"/>
    <col min="10830" max="10830" width="1.85546875" style="1" customWidth="1"/>
    <col min="10831" max="10831" width="10.7109375" style="1" customWidth="1"/>
    <col min="10832" max="10832" width="0" style="1" hidden="1" customWidth="1"/>
    <col min="10833" max="10938" width="10" style="1"/>
    <col min="10939" max="10939" width="1.5703125" style="1" customWidth="1"/>
    <col min="10940" max="10940" width="1.42578125" style="1" customWidth="1"/>
    <col min="10941" max="10941" width="57.5703125" style="1" customWidth="1"/>
    <col min="10942" max="10942" width="2.7109375" style="1" customWidth="1"/>
    <col min="10943" max="10943" width="0" style="1" hidden="1" customWidth="1"/>
    <col min="10944" max="10945" width="1" style="1" customWidth="1"/>
    <col min="10946" max="10946" width="19.7109375" style="1" customWidth="1"/>
    <col min="10947" max="10948" width="1" style="1" customWidth="1"/>
    <col min="10949" max="10993" width="0" style="1" hidden="1" customWidth="1"/>
    <col min="10994" max="10995" width="1" style="1" customWidth="1"/>
    <col min="10996" max="10996" width="17.85546875" style="1" customWidth="1"/>
    <col min="10997" max="10998" width="1" style="1" customWidth="1"/>
    <col min="10999" max="11008" width="0" style="1" hidden="1" customWidth="1"/>
    <col min="11009" max="11010" width="1" style="1" customWidth="1"/>
    <col min="11011" max="11011" width="17.85546875" style="1" customWidth="1"/>
    <col min="11012" max="11015" width="1" style="1" customWidth="1"/>
    <col min="11016" max="11016" width="17.85546875" style="1" customWidth="1"/>
    <col min="11017" max="11018" width="1" style="1" customWidth="1"/>
    <col min="11019" max="11037" width="0" style="1" hidden="1" customWidth="1"/>
    <col min="11038" max="11038" width="1" style="1" customWidth="1"/>
    <col min="11039" max="11063" width="0" style="1" hidden="1" customWidth="1"/>
    <col min="11064" max="11065" width="1" style="1" customWidth="1"/>
    <col min="11066" max="11066" width="17.85546875" style="1" customWidth="1"/>
    <col min="11067" max="11068" width="1" style="1" customWidth="1"/>
    <col min="11069" max="11078" width="0" style="1" hidden="1" customWidth="1"/>
    <col min="11079" max="11080" width="1" style="1" customWidth="1"/>
    <col min="11081" max="11081" width="17.85546875" style="1" customWidth="1"/>
    <col min="11082" max="11083" width="1" style="1" customWidth="1"/>
    <col min="11084" max="11084" width="1.5703125" style="1" customWidth="1"/>
    <col min="11085" max="11085" width="0.7109375" style="1" customWidth="1"/>
    <col min="11086" max="11086" width="1.85546875" style="1" customWidth="1"/>
    <col min="11087" max="11087" width="10.7109375" style="1" customWidth="1"/>
    <col min="11088" max="11088" width="0" style="1" hidden="1" customWidth="1"/>
    <col min="11089" max="11194" width="10" style="1"/>
    <col min="11195" max="11195" width="1.5703125" style="1" customWidth="1"/>
    <col min="11196" max="11196" width="1.42578125" style="1" customWidth="1"/>
    <col min="11197" max="11197" width="57.5703125" style="1" customWidth="1"/>
    <col min="11198" max="11198" width="2.7109375" style="1" customWidth="1"/>
    <col min="11199" max="11199" width="0" style="1" hidden="1" customWidth="1"/>
    <col min="11200" max="11201" width="1" style="1" customWidth="1"/>
    <col min="11202" max="11202" width="19.7109375" style="1" customWidth="1"/>
    <col min="11203" max="11204" width="1" style="1" customWidth="1"/>
    <col min="11205" max="11249" width="0" style="1" hidden="1" customWidth="1"/>
    <col min="11250" max="11251" width="1" style="1" customWidth="1"/>
    <col min="11252" max="11252" width="17.85546875" style="1" customWidth="1"/>
    <col min="11253" max="11254" width="1" style="1" customWidth="1"/>
    <col min="11255" max="11264" width="0" style="1" hidden="1" customWidth="1"/>
    <col min="11265" max="11266" width="1" style="1" customWidth="1"/>
    <col min="11267" max="11267" width="17.85546875" style="1" customWidth="1"/>
    <col min="11268" max="11271" width="1" style="1" customWidth="1"/>
    <col min="11272" max="11272" width="17.85546875" style="1" customWidth="1"/>
    <col min="11273" max="11274" width="1" style="1" customWidth="1"/>
    <col min="11275" max="11293" width="0" style="1" hidden="1" customWidth="1"/>
    <col min="11294" max="11294" width="1" style="1" customWidth="1"/>
    <col min="11295" max="11319" width="0" style="1" hidden="1" customWidth="1"/>
    <col min="11320" max="11321" width="1" style="1" customWidth="1"/>
    <col min="11322" max="11322" width="17.85546875" style="1" customWidth="1"/>
    <col min="11323" max="11324" width="1" style="1" customWidth="1"/>
    <col min="11325" max="11334" width="0" style="1" hidden="1" customWidth="1"/>
    <col min="11335" max="11336" width="1" style="1" customWidth="1"/>
    <col min="11337" max="11337" width="17.85546875" style="1" customWidth="1"/>
    <col min="11338" max="11339" width="1" style="1" customWidth="1"/>
    <col min="11340" max="11340" width="1.5703125" style="1" customWidth="1"/>
    <col min="11341" max="11341" width="0.7109375" style="1" customWidth="1"/>
    <col min="11342" max="11342" width="1.85546875" style="1" customWidth="1"/>
    <col min="11343" max="11343" width="10.7109375" style="1" customWidth="1"/>
    <col min="11344" max="11344" width="0" style="1" hidden="1" customWidth="1"/>
    <col min="11345" max="11450" width="10" style="1"/>
    <col min="11451" max="11451" width="1.5703125" style="1" customWidth="1"/>
    <col min="11452" max="11452" width="1.42578125" style="1" customWidth="1"/>
    <col min="11453" max="11453" width="57.5703125" style="1" customWidth="1"/>
    <col min="11454" max="11454" width="2.7109375" style="1" customWidth="1"/>
    <col min="11455" max="11455" width="0" style="1" hidden="1" customWidth="1"/>
    <col min="11456" max="11457" width="1" style="1" customWidth="1"/>
    <col min="11458" max="11458" width="19.7109375" style="1" customWidth="1"/>
    <col min="11459" max="11460" width="1" style="1" customWidth="1"/>
    <col min="11461" max="11505" width="0" style="1" hidden="1" customWidth="1"/>
    <col min="11506" max="11507" width="1" style="1" customWidth="1"/>
    <col min="11508" max="11508" width="17.85546875" style="1" customWidth="1"/>
    <col min="11509" max="11510" width="1" style="1" customWidth="1"/>
    <col min="11511" max="11520" width="0" style="1" hidden="1" customWidth="1"/>
    <col min="11521" max="11522" width="1" style="1" customWidth="1"/>
    <col min="11523" max="11523" width="17.85546875" style="1" customWidth="1"/>
    <col min="11524" max="11527" width="1" style="1" customWidth="1"/>
    <col min="11528" max="11528" width="17.85546875" style="1" customWidth="1"/>
    <col min="11529" max="11530" width="1" style="1" customWidth="1"/>
    <col min="11531" max="11549" width="0" style="1" hidden="1" customWidth="1"/>
    <col min="11550" max="11550" width="1" style="1" customWidth="1"/>
    <col min="11551" max="11575" width="0" style="1" hidden="1" customWidth="1"/>
    <col min="11576" max="11577" width="1" style="1" customWidth="1"/>
    <col min="11578" max="11578" width="17.85546875" style="1" customWidth="1"/>
    <col min="11579" max="11580" width="1" style="1" customWidth="1"/>
    <col min="11581" max="11590" width="0" style="1" hidden="1" customWidth="1"/>
    <col min="11591" max="11592" width="1" style="1" customWidth="1"/>
    <col min="11593" max="11593" width="17.85546875" style="1" customWidth="1"/>
    <col min="11594" max="11595" width="1" style="1" customWidth="1"/>
    <col min="11596" max="11596" width="1.5703125" style="1" customWidth="1"/>
    <col min="11597" max="11597" width="0.7109375" style="1" customWidth="1"/>
    <col min="11598" max="11598" width="1.85546875" style="1" customWidth="1"/>
    <col min="11599" max="11599" width="10.7109375" style="1" customWidth="1"/>
    <col min="11600" max="11600" width="0" style="1" hidden="1" customWidth="1"/>
    <col min="11601" max="11706" width="10" style="1"/>
    <col min="11707" max="11707" width="1.5703125" style="1" customWidth="1"/>
    <col min="11708" max="11708" width="1.42578125" style="1" customWidth="1"/>
    <col min="11709" max="11709" width="57.5703125" style="1" customWidth="1"/>
    <col min="11710" max="11710" width="2.7109375" style="1" customWidth="1"/>
    <col min="11711" max="11711" width="0" style="1" hidden="1" customWidth="1"/>
    <col min="11712" max="11713" width="1" style="1" customWidth="1"/>
    <col min="11714" max="11714" width="19.7109375" style="1" customWidth="1"/>
    <col min="11715" max="11716" width="1" style="1" customWidth="1"/>
    <col min="11717" max="11761" width="0" style="1" hidden="1" customWidth="1"/>
    <col min="11762" max="11763" width="1" style="1" customWidth="1"/>
    <col min="11764" max="11764" width="17.85546875" style="1" customWidth="1"/>
    <col min="11765" max="11766" width="1" style="1" customWidth="1"/>
    <col min="11767" max="11776" width="0" style="1" hidden="1" customWidth="1"/>
    <col min="11777" max="11778" width="1" style="1" customWidth="1"/>
    <col min="11779" max="11779" width="17.85546875" style="1" customWidth="1"/>
    <col min="11780" max="11783" width="1" style="1" customWidth="1"/>
    <col min="11784" max="11784" width="17.85546875" style="1" customWidth="1"/>
    <col min="11785" max="11786" width="1" style="1" customWidth="1"/>
    <col min="11787" max="11805" width="0" style="1" hidden="1" customWidth="1"/>
    <col min="11806" max="11806" width="1" style="1" customWidth="1"/>
    <col min="11807" max="11831" width="0" style="1" hidden="1" customWidth="1"/>
    <col min="11832" max="11833" width="1" style="1" customWidth="1"/>
    <col min="11834" max="11834" width="17.85546875" style="1" customWidth="1"/>
    <col min="11835" max="11836" width="1" style="1" customWidth="1"/>
    <col min="11837" max="11846" width="0" style="1" hidden="1" customWidth="1"/>
    <col min="11847" max="11848" width="1" style="1" customWidth="1"/>
    <col min="11849" max="11849" width="17.85546875" style="1" customWidth="1"/>
    <col min="11850" max="11851" width="1" style="1" customWidth="1"/>
    <col min="11852" max="11852" width="1.5703125" style="1" customWidth="1"/>
    <col min="11853" max="11853" width="0.7109375" style="1" customWidth="1"/>
    <col min="11854" max="11854" width="1.85546875" style="1" customWidth="1"/>
    <col min="11855" max="11855" width="10.7109375" style="1" customWidth="1"/>
    <col min="11856" max="11856" width="0" style="1" hidden="1" customWidth="1"/>
    <col min="11857" max="11962" width="10" style="1"/>
    <col min="11963" max="11963" width="1.5703125" style="1" customWidth="1"/>
    <col min="11964" max="11964" width="1.42578125" style="1" customWidth="1"/>
    <col min="11965" max="11965" width="57.5703125" style="1" customWidth="1"/>
    <col min="11966" max="11966" width="2.7109375" style="1" customWidth="1"/>
    <col min="11967" max="11967" width="0" style="1" hidden="1" customWidth="1"/>
    <col min="11968" max="11969" width="1" style="1" customWidth="1"/>
    <col min="11970" max="11970" width="19.7109375" style="1" customWidth="1"/>
    <col min="11971" max="11972" width="1" style="1" customWidth="1"/>
    <col min="11973" max="12017" width="0" style="1" hidden="1" customWidth="1"/>
    <col min="12018" max="12019" width="1" style="1" customWidth="1"/>
    <col min="12020" max="12020" width="17.85546875" style="1" customWidth="1"/>
    <col min="12021" max="12022" width="1" style="1" customWidth="1"/>
    <col min="12023" max="12032" width="0" style="1" hidden="1" customWidth="1"/>
    <col min="12033" max="12034" width="1" style="1" customWidth="1"/>
    <col min="12035" max="12035" width="17.85546875" style="1" customWidth="1"/>
    <col min="12036" max="12039" width="1" style="1" customWidth="1"/>
    <col min="12040" max="12040" width="17.85546875" style="1" customWidth="1"/>
    <col min="12041" max="12042" width="1" style="1" customWidth="1"/>
    <col min="12043" max="12061" width="0" style="1" hidden="1" customWidth="1"/>
    <col min="12062" max="12062" width="1" style="1" customWidth="1"/>
    <col min="12063" max="12087" width="0" style="1" hidden="1" customWidth="1"/>
    <col min="12088" max="12089" width="1" style="1" customWidth="1"/>
    <col min="12090" max="12090" width="17.85546875" style="1" customWidth="1"/>
    <col min="12091" max="12092" width="1" style="1" customWidth="1"/>
    <col min="12093" max="12102" width="0" style="1" hidden="1" customWidth="1"/>
    <col min="12103" max="12104" width="1" style="1" customWidth="1"/>
    <col min="12105" max="12105" width="17.85546875" style="1" customWidth="1"/>
    <col min="12106" max="12107" width="1" style="1" customWidth="1"/>
    <col min="12108" max="12108" width="1.5703125" style="1" customWidth="1"/>
    <col min="12109" max="12109" width="0.7109375" style="1" customWidth="1"/>
    <col min="12110" max="12110" width="1.85546875" style="1" customWidth="1"/>
    <col min="12111" max="12111" width="10.7109375" style="1" customWidth="1"/>
    <col min="12112" max="12112" width="0" style="1" hidden="1" customWidth="1"/>
    <col min="12113" max="12218" width="10" style="1"/>
    <col min="12219" max="12219" width="1.5703125" style="1" customWidth="1"/>
    <col min="12220" max="12220" width="1.42578125" style="1" customWidth="1"/>
    <col min="12221" max="12221" width="57.5703125" style="1" customWidth="1"/>
    <col min="12222" max="12222" width="2.7109375" style="1" customWidth="1"/>
    <col min="12223" max="12223" width="0" style="1" hidden="1" customWidth="1"/>
    <col min="12224" max="12225" width="1" style="1" customWidth="1"/>
    <col min="12226" max="12226" width="19.7109375" style="1" customWidth="1"/>
    <col min="12227" max="12228" width="1" style="1" customWidth="1"/>
    <col min="12229" max="12273" width="0" style="1" hidden="1" customWidth="1"/>
    <col min="12274" max="12275" width="1" style="1" customWidth="1"/>
    <col min="12276" max="12276" width="17.85546875" style="1" customWidth="1"/>
    <col min="12277" max="12278" width="1" style="1" customWidth="1"/>
    <col min="12279" max="12288" width="0" style="1" hidden="1" customWidth="1"/>
    <col min="12289" max="12290" width="1" style="1" customWidth="1"/>
    <col min="12291" max="12291" width="17.85546875" style="1" customWidth="1"/>
    <col min="12292" max="12295" width="1" style="1" customWidth="1"/>
    <col min="12296" max="12296" width="17.85546875" style="1" customWidth="1"/>
    <col min="12297" max="12298" width="1" style="1" customWidth="1"/>
    <col min="12299" max="12317" width="0" style="1" hidden="1" customWidth="1"/>
    <col min="12318" max="12318" width="1" style="1" customWidth="1"/>
    <col min="12319" max="12343" width="0" style="1" hidden="1" customWidth="1"/>
    <col min="12344" max="12345" width="1" style="1" customWidth="1"/>
    <col min="12346" max="12346" width="17.85546875" style="1" customWidth="1"/>
    <col min="12347" max="12348" width="1" style="1" customWidth="1"/>
    <col min="12349" max="12358" width="0" style="1" hidden="1" customWidth="1"/>
    <col min="12359" max="12360" width="1" style="1" customWidth="1"/>
    <col min="12361" max="12361" width="17.85546875" style="1" customWidth="1"/>
    <col min="12362" max="12363" width="1" style="1" customWidth="1"/>
    <col min="12364" max="12364" width="1.5703125" style="1" customWidth="1"/>
    <col min="12365" max="12365" width="0.7109375" style="1" customWidth="1"/>
    <col min="12366" max="12366" width="1.85546875" style="1" customWidth="1"/>
    <col min="12367" max="12367" width="10.7109375" style="1" customWidth="1"/>
    <col min="12368" max="12368" width="0" style="1" hidden="1" customWidth="1"/>
    <col min="12369" max="12474" width="10" style="1"/>
    <col min="12475" max="12475" width="1.5703125" style="1" customWidth="1"/>
    <col min="12476" max="12476" width="1.42578125" style="1" customWidth="1"/>
    <col min="12477" max="12477" width="57.5703125" style="1" customWidth="1"/>
    <col min="12478" max="12478" width="2.7109375" style="1" customWidth="1"/>
    <col min="12479" max="12479" width="0" style="1" hidden="1" customWidth="1"/>
    <col min="12480" max="12481" width="1" style="1" customWidth="1"/>
    <col min="12482" max="12482" width="19.7109375" style="1" customWidth="1"/>
    <col min="12483" max="12484" width="1" style="1" customWidth="1"/>
    <col min="12485" max="12529" width="0" style="1" hidden="1" customWidth="1"/>
    <col min="12530" max="12531" width="1" style="1" customWidth="1"/>
    <col min="12532" max="12532" width="17.85546875" style="1" customWidth="1"/>
    <col min="12533" max="12534" width="1" style="1" customWidth="1"/>
    <col min="12535" max="12544" width="0" style="1" hidden="1" customWidth="1"/>
    <col min="12545" max="12546" width="1" style="1" customWidth="1"/>
    <col min="12547" max="12547" width="17.85546875" style="1" customWidth="1"/>
    <col min="12548" max="12551" width="1" style="1" customWidth="1"/>
    <col min="12552" max="12552" width="17.85546875" style="1" customWidth="1"/>
    <col min="12553" max="12554" width="1" style="1" customWidth="1"/>
    <col min="12555" max="12573" width="0" style="1" hidden="1" customWidth="1"/>
    <col min="12574" max="12574" width="1" style="1" customWidth="1"/>
    <col min="12575" max="12599" width="0" style="1" hidden="1" customWidth="1"/>
    <col min="12600" max="12601" width="1" style="1" customWidth="1"/>
    <col min="12602" max="12602" width="17.85546875" style="1" customWidth="1"/>
    <col min="12603" max="12604" width="1" style="1" customWidth="1"/>
    <col min="12605" max="12614" width="0" style="1" hidden="1" customWidth="1"/>
    <col min="12615" max="12616" width="1" style="1" customWidth="1"/>
    <col min="12617" max="12617" width="17.85546875" style="1" customWidth="1"/>
    <col min="12618" max="12619" width="1" style="1" customWidth="1"/>
    <col min="12620" max="12620" width="1.5703125" style="1" customWidth="1"/>
    <col min="12621" max="12621" width="0.7109375" style="1" customWidth="1"/>
    <col min="12622" max="12622" width="1.85546875" style="1" customWidth="1"/>
    <col min="12623" max="12623" width="10.7109375" style="1" customWidth="1"/>
    <col min="12624" max="12624" width="0" style="1" hidden="1" customWidth="1"/>
    <col min="12625" max="12730" width="10" style="1"/>
    <col min="12731" max="12731" width="1.5703125" style="1" customWidth="1"/>
    <col min="12732" max="12732" width="1.42578125" style="1" customWidth="1"/>
    <col min="12733" max="12733" width="57.5703125" style="1" customWidth="1"/>
    <col min="12734" max="12734" width="2.7109375" style="1" customWidth="1"/>
    <col min="12735" max="12735" width="0" style="1" hidden="1" customWidth="1"/>
    <col min="12736" max="12737" width="1" style="1" customWidth="1"/>
    <col min="12738" max="12738" width="19.7109375" style="1" customWidth="1"/>
    <col min="12739" max="12740" width="1" style="1" customWidth="1"/>
    <col min="12741" max="12785" width="0" style="1" hidden="1" customWidth="1"/>
    <col min="12786" max="12787" width="1" style="1" customWidth="1"/>
    <col min="12788" max="12788" width="17.85546875" style="1" customWidth="1"/>
    <col min="12789" max="12790" width="1" style="1" customWidth="1"/>
    <col min="12791" max="12800" width="0" style="1" hidden="1" customWidth="1"/>
    <col min="12801" max="12802" width="1" style="1" customWidth="1"/>
    <col min="12803" max="12803" width="17.85546875" style="1" customWidth="1"/>
    <col min="12804" max="12807" width="1" style="1" customWidth="1"/>
    <col min="12808" max="12808" width="17.85546875" style="1" customWidth="1"/>
    <col min="12809" max="12810" width="1" style="1" customWidth="1"/>
    <col min="12811" max="12829" width="0" style="1" hidden="1" customWidth="1"/>
    <col min="12830" max="12830" width="1" style="1" customWidth="1"/>
    <col min="12831" max="12855" width="0" style="1" hidden="1" customWidth="1"/>
    <col min="12856" max="12857" width="1" style="1" customWidth="1"/>
    <col min="12858" max="12858" width="17.85546875" style="1" customWidth="1"/>
    <col min="12859" max="12860" width="1" style="1" customWidth="1"/>
    <col min="12861" max="12870" width="0" style="1" hidden="1" customWidth="1"/>
    <col min="12871" max="12872" width="1" style="1" customWidth="1"/>
    <col min="12873" max="12873" width="17.85546875" style="1" customWidth="1"/>
    <col min="12874" max="12875" width="1" style="1" customWidth="1"/>
    <col min="12876" max="12876" width="1.5703125" style="1" customWidth="1"/>
    <col min="12877" max="12877" width="0.7109375" style="1" customWidth="1"/>
    <col min="12878" max="12878" width="1.85546875" style="1" customWidth="1"/>
    <col min="12879" max="12879" width="10.7109375" style="1" customWidth="1"/>
    <col min="12880" max="12880" width="0" style="1" hidden="1" customWidth="1"/>
    <col min="12881" max="12986" width="10" style="1"/>
    <col min="12987" max="12987" width="1.5703125" style="1" customWidth="1"/>
    <col min="12988" max="12988" width="1.42578125" style="1" customWidth="1"/>
    <col min="12989" max="12989" width="57.5703125" style="1" customWidth="1"/>
    <col min="12990" max="12990" width="2.7109375" style="1" customWidth="1"/>
    <col min="12991" max="12991" width="0" style="1" hidden="1" customWidth="1"/>
    <col min="12992" max="12993" width="1" style="1" customWidth="1"/>
    <col min="12994" max="12994" width="19.7109375" style="1" customWidth="1"/>
    <col min="12995" max="12996" width="1" style="1" customWidth="1"/>
    <col min="12997" max="13041" width="0" style="1" hidden="1" customWidth="1"/>
    <col min="13042" max="13043" width="1" style="1" customWidth="1"/>
    <col min="13044" max="13044" width="17.85546875" style="1" customWidth="1"/>
    <col min="13045" max="13046" width="1" style="1" customWidth="1"/>
    <col min="13047" max="13056" width="0" style="1" hidden="1" customWidth="1"/>
    <col min="13057" max="13058" width="1" style="1" customWidth="1"/>
    <col min="13059" max="13059" width="17.85546875" style="1" customWidth="1"/>
    <col min="13060" max="13063" width="1" style="1" customWidth="1"/>
    <col min="13064" max="13064" width="17.85546875" style="1" customWidth="1"/>
    <col min="13065" max="13066" width="1" style="1" customWidth="1"/>
    <col min="13067" max="13085" width="0" style="1" hidden="1" customWidth="1"/>
    <col min="13086" max="13086" width="1" style="1" customWidth="1"/>
    <col min="13087" max="13111" width="0" style="1" hidden="1" customWidth="1"/>
    <col min="13112" max="13113" width="1" style="1" customWidth="1"/>
    <col min="13114" max="13114" width="17.85546875" style="1" customWidth="1"/>
    <col min="13115" max="13116" width="1" style="1" customWidth="1"/>
    <col min="13117" max="13126" width="0" style="1" hidden="1" customWidth="1"/>
    <col min="13127" max="13128" width="1" style="1" customWidth="1"/>
    <col min="13129" max="13129" width="17.85546875" style="1" customWidth="1"/>
    <col min="13130" max="13131" width="1" style="1" customWidth="1"/>
    <col min="13132" max="13132" width="1.5703125" style="1" customWidth="1"/>
    <col min="13133" max="13133" width="0.7109375" style="1" customWidth="1"/>
    <col min="13134" max="13134" width="1.85546875" style="1" customWidth="1"/>
    <col min="13135" max="13135" width="10.7109375" style="1" customWidth="1"/>
    <col min="13136" max="13136" width="0" style="1" hidden="1" customWidth="1"/>
    <col min="13137" max="13242" width="10" style="1"/>
    <col min="13243" max="13243" width="1.5703125" style="1" customWidth="1"/>
    <col min="13244" max="13244" width="1.42578125" style="1" customWidth="1"/>
    <col min="13245" max="13245" width="57.5703125" style="1" customWidth="1"/>
    <col min="13246" max="13246" width="2.7109375" style="1" customWidth="1"/>
    <col min="13247" max="13247" width="0" style="1" hidden="1" customWidth="1"/>
    <col min="13248" max="13249" width="1" style="1" customWidth="1"/>
    <col min="13250" max="13250" width="19.7109375" style="1" customWidth="1"/>
    <col min="13251" max="13252" width="1" style="1" customWidth="1"/>
    <col min="13253" max="13297" width="0" style="1" hidden="1" customWidth="1"/>
    <col min="13298" max="13299" width="1" style="1" customWidth="1"/>
    <col min="13300" max="13300" width="17.85546875" style="1" customWidth="1"/>
    <col min="13301" max="13302" width="1" style="1" customWidth="1"/>
    <col min="13303" max="13312" width="0" style="1" hidden="1" customWidth="1"/>
    <col min="13313" max="13314" width="1" style="1" customWidth="1"/>
    <col min="13315" max="13315" width="17.85546875" style="1" customWidth="1"/>
    <col min="13316" max="13319" width="1" style="1" customWidth="1"/>
    <col min="13320" max="13320" width="17.85546875" style="1" customWidth="1"/>
    <col min="13321" max="13322" width="1" style="1" customWidth="1"/>
    <col min="13323" max="13341" width="0" style="1" hidden="1" customWidth="1"/>
    <col min="13342" max="13342" width="1" style="1" customWidth="1"/>
    <col min="13343" max="13367" width="0" style="1" hidden="1" customWidth="1"/>
    <col min="13368" max="13369" width="1" style="1" customWidth="1"/>
    <col min="13370" max="13370" width="17.85546875" style="1" customWidth="1"/>
    <col min="13371" max="13372" width="1" style="1" customWidth="1"/>
    <col min="13373" max="13382" width="0" style="1" hidden="1" customWidth="1"/>
    <col min="13383" max="13384" width="1" style="1" customWidth="1"/>
    <col min="13385" max="13385" width="17.85546875" style="1" customWidth="1"/>
    <col min="13386" max="13387" width="1" style="1" customWidth="1"/>
    <col min="13388" max="13388" width="1.5703125" style="1" customWidth="1"/>
    <col min="13389" max="13389" width="0.7109375" style="1" customWidth="1"/>
    <col min="13390" max="13390" width="1.85546875" style="1" customWidth="1"/>
    <col min="13391" max="13391" width="10.7109375" style="1" customWidth="1"/>
    <col min="13392" max="13392" width="0" style="1" hidden="1" customWidth="1"/>
    <col min="13393" max="13498" width="10" style="1"/>
    <col min="13499" max="13499" width="1.5703125" style="1" customWidth="1"/>
    <col min="13500" max="13500" width="1.42578125" style="1" customWidth="1"/>
    <col min="13501" max="13501" width="57.5703125" style="1" customWidth="1"/>
    <col min="13502" max="13502" width="2.7109375" style="1" customWidth="1"/>
    <col min="13503" max="13503" width="0" style="1" hidden="1" customWidth="1"/>
    <col min="13504" max="13505" width="1" style="1" customWidth="1"/>
    <col min="13506" max="13506" width="19.7109375" style="1" customWidth="1"/>
    <col min="13507" max="13508" width="1" style="1" customWidth="1"/>
    <col min="13509" max="13553" width="0" style="1" hidden="1" customWidth="1"/>
    <col min="13554" max="13555" width="1" style="1" customWidth="1"/>
    <col min="13556" max="13556" width="17.85546875" style="1" customWidth="1"/>
    <col min="13557" max="13558" width="1" style="1" customWidth="1"/>
    <col min="13559" max="13568" width="0" style="1" hidden="1" customWidth="1"/>
    <col min="13569" max="13570" width="1" style="1" customWidth="1"/>
    <col min="13571" max="13571" width="17.85546875" style="1" customWidth="1"/>
    <col min="13572" max="13575" width="1" style="1" customWidth="1"/>
    <col min="13576" max="13576" width="17.85546875" style="1" customWidth="1"/>
    <col min="13577" max="13578" width="1" style="1" customWidth="1"/>
    <col min="13579" max="13597" width="0" style="1" hidden="1" customWidth="1"/>
    <col min="13598" max="13598" width="1" style="1" customWidth="1"/>
    <col min="13599" max="13623" width="0" style="1" hidden="1" customWidth="1"/>
    <col min="13624" max="13625" width="1" style="1" customWidth="1"/>
    <col min="13626" max="13626" width="17.85546875" style="1" customWidth="1"/>
    <col min="13627" max="13628" width="1" style="1" customWidth="1"/>
    <col min="13629" max="13638" width="0" style="1" hidden="1" customWidth="1"/>
    <col min="13639" max="13640" width="1" style="1" customWidth="1"/>
    <col min="13641" max="13641" width="17.85546875" style="1" customWidth="1"/>
    <col min="13642" max="13643" width="1" style="1" customWidth="1"/>
    <col min="13644" max="13644" width="1.5703125" style="1" customWidth="1"/>
    <col min="13645" max="13645" width="0.7109375" style="1" customWidth="1"/>
    <col min="13646" max="13646" width="1.85546875" style="1" customWidth="1"/>
    <col min="13647" max="13647" width="10.7109375" style="1" customWidth="1"/>
    <col min="13648" max="13648" width="0" style="1" hidden="1" customWidth="1"/>
    <col min="13649" max="13754" width="10" style="1"/>
    <col min="13755" max="13755" width="1.5703125" style="1" customWidth="1"/>
    <col min="13756" max="13756" width="1.42578125" style="1" customWidth="1"/>
    <col min="13757" max="13757" width="57.5703125" style="1" customWidth="1"/>
    <col min="13758" max="13758" width="2.7109375" style="1" customWidth="1"/>
    <col min="13759" max="13759" width="0" style="1" hidden="1" customWidth="1"/>
    <col min="13760" max="13761" width="1" style="1" customWidth="1"/>
    <col min="13762" max="13762" width="19.7109375" style="1" customWidth="1"/>
    <col min="13763" max="13764" width="1" style="1" customWidth="1"/>
    <col min="13765" max="13809" width="0" style="1" hidden="1" customWidth="1"/>
    <col min="13810" max="13811" width="1" style="1" customWidth="1"/>
    <col min="13812" max="13812" width="17.85546875" style="1" customWidth="1"/>
    <col min="13813" max="13814" width="1" style="1" customWidth="1"/>
    <col min="13815" max="13824" width="0" style="1" hidden="1" customWidth="1"/>
    <col min="13825" max="13826" width="1" style="1" customWidth="1"/>
    <col min="13827" max="13827" width="17.85546875" style="1" customWidth="1"/>
    <col min="13828" max="13831" width="1" style="1" customWidth="1"/>
    <col min="13832" max="13832" width="17.85546875" style="1" customWidth="1"/>
    <col min="13833" max="13834" width="1" style="1" customWidth="1"/>
    <col min="13835" max="13853" width="0" style="1" hidden="1" customWidth="1"/>
    <col min="13854" max="13854" width="1" style="1" customWidth="1"/>
    <col min="13855" max="13879" width="0" style="1" hidden="1" customWidth="1"/>
    <col min="13880" max="13881" width="1" style="1" customWidth="1"/>
    <col min="13882" max="13882" width="17.85546875" style="1" customWidth="1"/>
    <col min="13883" max="13884" width="1" style="1" customWidth="1"/>
    <col min="13885" max="13894" width="0" style="1" hidden="1" customWidth="1"/>
    <col min="13895" max="13896" width="1" style="1" customWidth="1"/>
    <col min="13897" max="13897" width="17.85546875" style="1" customWidth="1"/>
    <col min="13898" max="13899" width="1" style="1" customWidth="1"/>
    <col min="13900" max="13900" width="1.5703125" style="1" customWidth="1"/>
    <col min="13901" max="13901" width="0.7109375" style="1" customWidth="1"/>
    <col min="13902" max="13902" width="1.85546875" style="1" customWidth="1"/>
    <col min="13903" max="13903" width="10.7109375" style="1" customWidth="1"/>
    <col min="13904" max="13904" width="0" style="1" hidden="1" customWidth="1"/>
    <col min="13905" max="14010" width="10" style="1"/>
    <col min="14011" max="14011" width="1.5703125" style="1" customWidth="1"/>
    <col min="14012" max="14012" width="1.42578125" style="1" customWidth="1"/>
    <col min="14013" max="14013" width="57.5703125" style="1" customWidth="1"/>
    <col min="14014" max="14014" width="2.7109375" style="1" customWidth="1"/>
    <col min="14015" max="14015" width="0" style="1" hidden="1" customWidth="1"/>
    <col min="14016" max="14017" width="1" style="1" customWidth="1"/>
    <col min="14018" max="14018" width="19.7109375" style="1" customWidth="1"/>
    <col min="14019" max="14020" width="1" style="1" customWidth="1"/>
    <col min="14021" max="14065" width="0" style="1" hidden="1" customWidth="1"/>
    <col min="14066" max="14067" width="1" style="1" customWidth="1"/>
    <col min="14068" max="14068" width="17.85546875" style="1" customWidth="1"/>
    <col min="14069" max="14070" width="1" style="1" customWidth="1"/>
    <col min="14071" max="14080" width="0" style="1" hidden="1" customWidth="1"/>
    <col min="14081" max="14082" width="1" style="1" customWidth="1"/>
    <col min="14083" max="14083" width="17.85546875" style="1" customWidth="1"/>
    <col min="14084" max="14087" width="1" style="1" customWidth="1"/>
    <col min="14088" max="14088" width="17.85546875" style="1" customWidth="1"/>
    <col min="14089" max="14090" width="1" style="1" customWidth="1"/>
    <col min="14091" max="14109" width="0" style="1" hidden="1" customWidth="1"/>
    <col min="14110" max="14110" width="1" style="1" customWidth="1"/>
    <col min="14111" max="14135" width="0" style="1" hidden="1" customWidth="1"/>
    <col min="14136" max="14137" width="1" style="1" customWidth="1"/>
    <col min="14138" max="14138" width="17.85546875" style="1" customWidth="1"/>
    <col min="14139" max="14140" width="1" style="1" customWidth="1"/>
    <col min="14141" max="14150" width="0" style="1" hidden="1" customWidth="1"/>
    <col min="14151" max="14152" width="1" style="1" customWidth="1"/>
    <col min="14153" max="14153" width="17.85546875" style="1" customWidth="1"/>
    <col min="14154" max="14155" width="1" style="1" customWidth="1"/>
    <col min="14156" max="14156" width="1.5703125" style="1" customWidth="1"/>
    <col min="14157" max="14157" width="0.7109375" style="1" customWidth="1"/>
    <col min="14158" max="14158" width="1.85546875" style="1" customWidth="1"/>
    <col min="14159" max="14159" width="10.7109375" style="1" customWidth="1"/>
    <col min="14160" max="14160" width="0" style="1" hidden="1" customWidth="1"/>
    <col min="14161" max="14266" width="10" style="1"/>
    <col min="14267" max="14267" width="1.5703125" style="1" customWidth="1"/>
    <col min="14268" max="14268" width="1.42578125" style="1" customWidth="1"/>
    <col min="14269" max="14269" width="57.5703125" style="1" customWidth="1"/>
    <col min="14270" max="14270" width="2.7109375" style="1" customWidth="1"/>
    <col min="14271" max="14271" width="0" style="1" hidden="1" customWidth="1"/>
    <col min="14272" max="14273" width="1" style="1" customWidth="1"/>
    <col min="14274" max="14274" width="19.7109375" style="1" customWidth="1"/>
    <col min="14275" max="14276" width="1" style="1" customWidth="1"/>
    <col min="14277" max="14321" width="0" style="1" hidden="1" customWidth="1"/>
    <col min="14322" max="14323" width="1" style="1" customWidth="1"/>
    <col min="14324" max="14324" width="17.85546875" style="1" customWidth="1"/>
    <col min="14325" max="14326" width="1" style="1" customWidth="1"/>
    <col min="14327" max="14336" width="0" style="1" hidden="1" customWidth="1"/>
    <col min="14337" max="14338" width="1" style="1" customWidth="1"/>
    <col min="14339" max="14339" width="17.85546875" style="1" customWidth="1"/>
    <col min="14340" max="14343" width="1" style="1" customWidth="1"/>
    <col min="14344" max="14344" width="17.85546875" style="1" customWidth="1"/>
    <col min="14345" max="14346" width="1" style="1" customWidth="1"/>
    <col min="14347" max="14365" width="0" style="1" hidden="1" customWidth="1"/>
    <col min="14366" max="14366" width="1" style="1" customWidth="1"/>
    <col min="14367" max="14391" width="0" style="1" hidden="1" customWidth="1"/>
    <col min="14392" max="14393" width="1" style="1" customWidth="1"/>
    <col min="14394" max="14394" width="17.85546875" style="1" customWidth="1"/>
    <col min="14395" max="14396" width="1" style="1" customWidth="1"/>
    <col min="14397" max="14406" width="0" style="1" hidden="1" customWidth="1"/>
    <col min="14407" max="14408" width="1" style="1" customWidth="1"/>
    <col min="14409" max="14409" width="17.85546875" style="1" customWidth="1"/>
    <col min="14410" max="14411" width="1" style="1" customWidth="1"/>
    <col min="14412" max="14412" width="1.5703125" style="1" customWidth="1"/>
    <col min="14413" max="14413" width="0.7109375" style="1" customWidth="1"/>
    <col min="14414" max="14414" width="1.85546875" style="1" customWidth="1"/>
    <col min="14415" max="14415" width="10.7109375" style="1" customWidth="1"/>
    <col min="14416" max="14416" width="0" style="1" hidden="1" customWidth="1"/>
    <col min="14417" max="14522" width="10" style="1"/>
    <col min="14523" max="14523" width="1.5703125" style="1" customWidth="1"/>
    <col min="14524" max="14524" width="1.42578125" style="1" customWidth="1"/>
    <col min="14525" max="14525" width="57.5703125" style="1" customWidth="1"/>
    <col min="14526" max="14526" width="2.7109375" style="1" customWidth="1"/>
    <col min="14527" max="14527" width="0" style="1" hidden="1" customWidth="1"/>
    <col min="14528" max="14529" width="1" style="1" customWidth="1"/>
    <col min="14530" max="14530" width="19.7109375" style="1" customWidth="1"/>
    <col min="14531" max="14532" width="1" style="1" customWidth="1"/>
    <col min="14533" max="14577" width="0" style="1" hidden="1" customWidth="1"/>
    <col min="14578" max="14579" width="1" style="1" customWidth="1"/>
    <col min="14580" max="14580" width="17.85546875" style="1" customWidth="1"/>
    <col min="14581" max="14582" width="1" style="1" customWidth="1"/>
    <col min="14583" max="14592" width="0" style="1" hidden="1" customWidth="1"/>
    <col min="14593" max="14594" width="1" style="1" customWidth="1"/>
    <col min="14595" max="14595" width="17.85546875" style="1" customWidth="1"/>
    <col min="14596" max="14599" width="1" style="1" customWidth="1"/>
    <col min="14600" max="14600" width="17.85546875" style="1" customWidth="1"/>
    <col min="14601" max="14602" width="1" style="1" customWidth="1"/>
    <col min="14603" max="14621" width="0" style="1" hidden="1" customWidth="1"/>
    <col min="14622" max="14622" width="1" style="1" customWidth="1"/>
    <col min="14623" max="14647" width="0" style="1" hidden="1" customWidth="1"/>
    <col min="14648" max="14649" width="1" style="1" customWidth="1"/>
    <col min="14650" max="14650" width="17.85546875" style="1" customWidth="1"/>
    <col min="14651" max="14652" width="1" style="1" customWidth="1"/>
    <col min="14653" max="14662" width="0" style="1" hidden="1" customWidth="1"/>
    <col min="14663" max="14664" width="1" style="1" customWidth="1"/>
    <col min="14665" max="14665" width="17.85546875" style="1" customWidth="1"/>
    <col min="14666" max="14667" width="1" style="1" customWidth="1"/>
    <col min="14668" max="14668" width="1.5703125" style="1" customWidth="1"/>
    <col min="14669" max="14669" width="0.7109375" style="1" customWidth="1"/>
    <col min="14670" max="14670" width="1.85546875" style="1" customWidth="1"/>
    <col min="14671" max="14671" width="10.7109375" style="1" customWidth="1"/>
    <col min="14672" max="14672" width="0" style="1" hidden="1" customWidth="1"/>
    <col min="14673" max="14778" width="10" style="1"/>
    <col min="14779" max="14779" width="1.5703125" style="1" customWidth="1"/>
    <col min="14780" max="14780" width="1.42578125" style="1" customWidth="1"/>
    <col min="14781" max="14781" width="57.5703125" style="1" customWidth="1"/>
    <col min="14782" max="14782" width="2.7109375" style="1" customWidth="1"/>
    <col min="14783" max="14783" width="0" style="1" hidden="1" customWidth="1"/>
    <col min="14784" max="14785" width="1" style="1" customWidth="1"/>
    <col min="14786" max="14786" width="19.7109375" style="1" customWidth="1"/>
    <col min="14787" max="14788" width="1" style="1" customWidth="1"/>
    <col min="14789" max="14833" width="0" style="1" hidden="1" customWidth="1"/>
    <col min="14834" max="14835" width="1" style="1" customWidth="1"/>
    <col min="14836" max="14836" width="17.85546875" style="1" customWidth="1"/>
    <col min="14837" max="14838" width="1" style="1" customWidth="1"/>
    <col min="14839" max="14848" width="0" style="1" hidden="1" customWidth="1"/>
    <col min="14849" max="14850" width="1" style="1" customWidth="1"/>
    <col min="14851" max="14851" width="17.85546875" style="1" customWidth="1"/>
    <col min="14852" max="14855" width="1" style="1" customWidth="1"/>
    <col min="14856" max="14856" width="17.85546875" style="1" customWidth="1"/>
    <col min="14857" max="14858" width="1" style="1" customWidth="1"/>
    <col min="14859" max="14877" width="0" style="1" hidden="1" customWidth="1"/>
    <col min="14878" max="14878" width="1" style="1" customWidth="1"/>
    <col min="14879" max="14903" width="0" style="1" hidden="1" customWidth="1"/>
    <col min="14904" max="14905" width="1" style="1" customWidth="1"/>
    <col min="14906" max="14906" width="17.85546875" style="1" customWidth="1"/>
    <col min="14907" max="14908" width="1" style="1" customWidth="1"/>
    <col min="14909" max="14918" width="0" style="1" hidden="1" customWidth="1"/>
    <col min="14919" max="14920" width="1" style="1" customWidth="1"/>
    <col min="14921" max="14921" width="17.85546875" style="1" customWidth="1"/>
    <col min="14922" max="14923" width="1" style="1" customWidth="1"/>
    <col min="14924" max="14924" width="1.5703125" style="1" customWidth="1"/>
    <col min="14925" max="14925" width="0.7109375" style="1" customWidth="1"/>
    <col min="14926" max="14926" width="1.85546875" style="1" customWidth="1"/>
    <col min="14927" max="14927" width="10.7109375" style="1" customWidth="1"/>
    <col min="14928" max="14928" width="0" style="1" hidden="1" customWidth="1"/>
    <col min="14929" max="15034" width="10" style="1"/>
    <col min="15035" max="15035" width="1.5703125" style="1" customWidth="1"/>
    <col min="15036" max="15036" width="1.42578125" style="1" customWidth="1"/>
    <col min="15037" max="15037" width="57.5703125" style="1" customWidth="1"/>
    <col min="15038" max="15038" width="2.7109375" style="1" customWidth="1"/>
    <col min="15039" max="15039" width="0" style="1" hidden="1" customWidth="1"/>
    <col min="15040" max="15041" width="1" style="1" customWidth="1"/>
    <col min="15042" max="15042" width="19.7109375" style="1" customWidth="1"/>
    <col min="15043" max="15044" width="1" style="1" customWidth="1"/>
    <col min="15045" max="15089" width="0" style="1" hidden="1" customWidth="1"/>
    <col min="15090" max="15091" width="1" style="1" customWidth="1"/>
    <col min="15092" max="15092" width="17.85546875" style="1" customWidth="1"/>
    <col min="15093" max="15094" width="1" style="1" customWidth="1"/>
    <col min="15095" max="15104" width="0" style="1" hidden="1" customWidth="1"/>
    <col min="15105" max="15106" width="1" style="1" customWidth="1"/>
    <col min="15107" max="15107" width="17.85546875" style="1" customWidth="1"/>
    <col min="15108" max="15111" width="1" style="1" customWidth="1"/>
    <col min="15112" max="15112" width="17.85546875" style="1" customWidth="1"/>
    <col min="15113" max="15114" width="1" style="1" customWidth="1"/>
    <col min="15115" max="15133" width="0" style="1" hidden="1" customWidth="1"/>
    <col min="15134" max="15134" width="1" style="1" customWidth="1"/>
    <col min="15135" max="15159" width="0" style="1" hidden="1" customWidth="1"/>
    <col min="15160" max="15161" width="1" style="1" customWidth="1"/>
    <col min="15162" max="15162" width="17.85546875" style="1" customWidth="1"/>
    <col min="15163" max="15164" width="1" style="1" customWidth="1"/>
    <col min="15165" max="15174" width="0" style="1" hidden="1" customWidth="1"/>
    <col min="15175" max="15176" width="1" style="1" customWidth="1"/>
    <col min="15177" max="15177" width="17.85546875" style="1" customWidth="1"/>
    <col min="15178" max="15179" width="1" style="1" customWidth="1"/>
    <col min="15180" max="15180" width="1.5703125" style="1" customWidth="1"/>
    <col min="15181" max="15181" width="0.7109375" style="1" customWidth="1"/>
    <col min="15182" max="15182" width="1.85546875" style="1" customWidth="1"/>
    <col min="15183" max="15183" width="10.7109375" style="1" customWidth="1"/>
    <col min="15184" max="15184" width="0" style="1" hidden="1" customWidth="1"/>
    <col min="15185" max="15290" width="10" style="1"/>
    <col min="15291" max="15291" width="1.5703125" style="1" customWidth="1"/>
    <col min="15292" max="15292" width="1.42578125" style="1" customWidth="1"/>
    <col min="15293" max="15293" width="57.5703125" style="1" customWidth="1"/>
    <col min="15294" max="15294" width="2.7109375" style="1" customWidth="1"/>
    <col min="15295" max="15295" width="0" style="1" hidden="1" customWidth="1"/>
    <col min="15296" max="15297" width="1" style="1" customWidth="1"/>
    <col min="15298" max="15298" width="19.7109375" style="1" customWidth="1"/>
    <col min="15299" max="15300" width="1" style="1" customWidth="1"/>
    <col min="15301" max="15345" width="0" style="1" hidden="1" customWidth="1"/>
    <col min="15346" max="15347" width="1" style="1" customWidth="1"/>
    <col min="15348" max="15348" width="17.85546875" style="1" customWidth="1"/>
    <col min="15349" max="15350" width="1" style="1" customWidth="1"/>
    <col min="15351" max="15360" width="0" style="1" hidden="1" customWidth="1"/>
    <col min="15361" max="15362" width="1" style="1" customWidth="1"/>
    <col min="15363" max="15363" width="17.85546875" style="1" customWidth="1"/>
    <col min="15364" max="15367" width="1" style="1" customWidth="1"/>
    <col min="15368" max="15368" width="17.85546875" style="1" customWidth="1"/>
    <col min="15369" max="15370" width="1" style="1" customWidth="1"/>
    <col min="15371" max="15389" width="0" style="1" hidden="1" customWidth="1"/>
    <col min="15390" max="15390" width="1" style="1" customWidth="1"/>
    <col min="15391" max="15415" width="0" style="1" hidden="1" customWidth="1"/>
    <col min="15416" max="15417" width="1" style="1" customWidth="1"/>
    <col min="15418" max="15418" width="17.85546875" style="1" customWidth="1"/>
    <col min="15419" max="15420" width="1" style="1" customWidth="1"/>
    <col min="15421" max="15430" width="0" style="1" hidden="1" customWidth="1"/>
    <col min="15431" max="15432" width="1" style="1" customWidth="1"/>
    <col min="15433" max="15433" width="17.85546875" style="1" customWidth="1"/>
    <col min="15434" max="15435" width="1" style="1" customWidth="1"/>
    <col min="15436" max="15436" width="1.5703125" style="1" customWidth="1"/>
    <col min="15437" max="15437" width="0.7109375" style="1" customWidth="1"/>
    <col min="15438" max="15438" width="1.85546875" style="1" customWidth="1"/>
    <col min="15439" max="15439" width="10.7109375" style="1" customWidth="1"/>
    <col min="15440" max="15440" width="0" style="1" hidden="1" customWidth="1"/>
    <col min="15441" max="15546" width="10" style="1"/>
    <col min="15547" max="15547" width="1.5703125" style="1" customWidth="1"/>
    <col min="15548" max="15548" width="1.42578125" style="1" customWidth="1"/>
    <col min="15549" max="15549" width="57.5703125" style="1" customWidth="1"/>
    <col min="15550" max="15550" width="2.7109375" style="1" customWidth="1"/>
    <col min="15551" max="15551" width="0" style="1" hidden="1" customWidth="1"/>
    <col min="15552" max="15553" width="1" style="1" customWidth="1"/>
    <col min="15554" max="15554" width="19.7109375" style="1" customWidth="1"/>
    <col min="15555" max="15556" width="1" style="1" customWidth="1"/>
    <col min="15557" max="15601" width="0" style="1" hidden="1" customWidth="1"/>
    <col min="15602" max="15603" width="1" style="1" customWidth="1"/>
    <col min="15604" max="15604" width="17.85546875" style="1" customWidth="1"/>
    <col min="15605" max="15606" width="1" style="1" customWidth="1"/>
    <col min="15607" max="15616" width="0" style="1" hidden="1" customWidth="1"/>
    <col min="15617" max="15618" width="1" style="1" customWidth="1"/>
    <col min="15619" max="15619" width="17.85546875" style="1" customWidth="1"/>
    <col min="15620" max="15623" width="1" style="1" customWidth="1"/>
    <col min="15624" max="15624" width="17.85546875" style="1" customWidth="1"/>
    <col min="15625" max="15626" width="1" style="1" customWidth="1"/>
    <col min="15627" max="15645" width="0" style="1" hidden="1" customWidth="1"/>
    <col min="15646" max="15646" width="1" style="1" customWidth="1"/>
    <col min="15647" max="15671" width="0" style="1" hidden="1" customWidth="1"/>
    <col min="15672" max="15673" width="1" style="1" customWidth="1"/>
    <col min="15674" max="15674" width="17.85546875" style="1" customWidth="1"/>
    <col min="15675" max="15676" width="1" style="1" customWidth="1"/>
    <col min="15677" max="15686" width="0" style="1" hidden="1" customWidth="1"/>
    <col min="15687" max="15688" width="1" style="1" customWidth="1"/>
    <col min="15689" max="15689" width="17.85546875" style="1" customWidth="1"/>
    <col min="15690" max="15691" width="1" style="1" customWidth="1"/>
    <col min="15692" max="15692" width="1.5703125" style="1" customWidth="1"/>
    <col min="15693" max="15693" width="0.7109375" style="1" customWidth="1"/>
    <col min="15694" max="15694" width="1.85546875" style="1" customWidth="1"/>
    <col min="15695" max="15695" width="10.7109375" style="1" customWidth="1"/>
    <col min="15696" max="15696" width="0" style="1" hidden="1" customWidth="1"/>
    <col min="15697" max="15802" width="10" style="1"/>
    <col min="15803" max="15803" width="1.5703125" style="1" customWidth="1"/>
    <col min="15804" max="15804" width="1.42578125" style="1" customWidth="1"/>
    <col min="15805" max="15805" width="57.5703125" style="1" customWidth="1"/>
    <col min="15806" max="15806" width="2.7109375" style="1" customWidth="1"/>
    <col min="15807" max="15807" width="0" style="1" hidden="1" customWidth="1"/>
    <col min="15808" max="15809" width="1" style="1" customWidth="1"/>
    <col min="15810" max="15810" width="19.7109375" style="1" customWidth="1"/>
    <col min="15811" max="15812" width="1" style="1" customWidth="1"/>
    <col min="15813" max="15857" width="0" style="1" hidden="1" customWidth="1"/>
    <col min="15858" max="15859" width="1" style="1" customWidth="1"/>
    <col min="15860" max="15860" width="17.85546875" style="1" customWidth="1"/>
    <col min="15861" max="15862" width="1" style="1" customWidth="1"/>
    <col min="15863" max="15872" width="0" style="1" hidden="1" customWidth="1"/>
    <col min="15873" max="15874" width="1" style="1" customWidth="1"/>
    <col min="15875" max="15875" width="17.85546875" style="1" customWidth="1"/>
    <col min="15876" max="15879" width="1" style="1" customWidth="1"/>
    <col min="15880" max="15880" width="17.85546875" style="1" customWidth="1"/>
    <col min="15881" max="15882" width="1" style="1" customWidth="1"/>
    <col min="15883" max="15901" width="0" style="1" hidden="1" customWidth="1"/>
    <col min="15902" max="15902" width="1" style="1" customWidth="1"/>
    <col min="15903" max="15927" width="0" style="1" hidden="1" customWidth="1"/>
    <col min="15928" max="15929" width="1" style="1" customWidth="1"/>
    <col min="15930" max="15930" width="17.85546875" style="1" customWidth="1"/>
    <col min="15931" max="15932" width="1" style="1" customWidth="1"/>
    <col min="15933" max="15942" width="0" style="1" hidden="1" customWidth="1"/>
    <col min="15943" max="15944" width="1" style="1" customWidth="1"/>
    <col min="15945" max="15945" width="17.85546875" style="1" customWidth="1"/>
    <col min="15946" max="15947" width="1" style="1" customWidth="1"/>
    <col min="15948" max="15948" width="1.5703125" style="1" customWidth="1"/>
    <col min="15949" max="15949" width="0.7109375" style="1" customWidth="1"/>
    <col min="15950" max="15950" width="1.85546875" style="1" customWidth="1"/>
    <col min="15951" max="15951" width="10.7109375" style="1" customWidth="1"/>
    <col min="15952" max="15952" width="0" style="1" hidden="1" customWidth="1"/>
    <col min="15953" max="16058" width="10" style="1"/>
    <col min="16059" max="16059" width="1.5703125" style="1" customWidth="1"/>
    <col min="16060" max="16060" width="1.42578125" style="1" customWidth="1"/>
    <col min="16061" max="16061" width="57.5703125" style="1" customWidth="1"/>
    <col min="16062" max="16062" width="2.7109375" style="1" customWidth="1"/>
    <col min="16063" max="16063" width="0" style="1" hidden="1" customWidth="1"/>
    <col min="16064" max="16065" width="1" style="1" customWidth="1"/>
    <col min="16066" max="16066" width="19.7109375" style="1" customWidth="1"/>
    <col min="16067" max="16068" width="1" style="1" customWidth="1"/>
    <col min="16069" max="16113" width="0" style="1" hidden="1" customWidth="1"/>
    <col min="16114" max="16115" width="1" style="1" customWidth="1"/>
    <col min="16116" max="16116" width="17.85546875" style="1" customWidth="1"/>
    <col min="16117" max="16118" width="1" style="1" customWidth="1"/>
    <col min="16119" max="16128" width="0" style="1" hidden="1" customWidth="1"/>
    <col min="16129" max="16130" width="1" style="1" customWidth="1"/>
    <col min="16131" max="16131" width="17.85546875" style="1" customWidth="1"/>
    <col min="16132" max="16135" width="1" style="1" customWidth="1"/>
    <col min="16136" max="16136" width="17.85546875" style="1" customWidth="1"/>
    <col min="16137" max="16138" width="1" style="1" customWidth="1"/>
    <col min="16139" max="16157" width="0" style="1" hidden="1" customWidth="1"/>
    <col min="16158" max="16158" width="1" style="1" customWidth="1"/>
    <col min="16159" max="16183" width="0" style="1" hidden="1" customWidth="1"/>
    <col min="16184" max="16185" width="1" style="1" customWidth="1"/>
    <col min="16186" max="16186" width="17.85546875" style="1" customWidth="1"/>
    <col min="16187" max="16188" width="1" style="1" customWidth="1"/>
    <col min="16189" max="16198" width="0" style="1" hidden="1" customWidth="1"/>
    <col min="16199" max="16200" width="1" style="1" customWidth="1"/>
    <col min="16201" max="16201" width="17.85546875" style="1" customWidth="1"/>
    <col min="16202" max="16203" width="1" style="1" customWidth="1"/>
    <col min="16204" max="16204" width="1.5703125" style="1" customWidth="1"/>
    <col min="16205" max="16205" width="0.7109375" style="1" customWidth="1"/>
    <col min="16206" max="16206" width="1.85546875" style="1" customWidth="1"/>
    <col min="16207" max="16207" width="10.7109375" style="1" customWidth="1"/>
    <col min="16208" max="16208" width="0" style="1" hidden="1" customWidth="1"/>
    <col min="16209" max="16384" width="10" style="1"/>
  </cols>
  <sheetData>
    <row r="2" spans="3:80" ht="5.25" customHeight="1" x14ac:dyDescent="0.2"/>
    <row r="4" spans="3:80" x14ac:dyDescent="0.2">
      <c r="C4" s="10"/>
      <c r="D4" s="10"/>
    </row>
    <row r="5" spans="3:80" x14ac:dyDescent="0.2">
      <c r="D5" s="10"/>
    </row>
    <row r="7" spans="3:80" ht="15" customHeight="1" x14ac:dyDescent="0.25">
      <c r="C7" s="293" t="s">
        <v>289</v>
      </c>
      <c r="D7" s="3"/>
    </row>
    <row r="8" spans="3:80" x14ac:dyDescent="0.2">
      <c r="C8" s="4"/>
      <c r="E8" s="294"/>
      <c r="F8" s="295"/>
      <c r="G8" s="296"/>
      <c r="H8" s="616" t="s">
        <v>1</v>
      </c>
      <c r="I8" s="616"/>
      <c r="J8" s="616"/>
      <c r="K8" s="616"/>
      <c r="L8" s="616"/>
      <c r="M8" s="629"/>
      <c r="N8" s="629"/>
      <c r="O8" s="629"/>
      <c r="P8" s="629"/>
      <c r="Q8" s="629"/>
      <c r="R8" s="629"/>
      <c r="S8" s="629"/>
      <c r="T8" s="629"/>
      <c r="U8" s="629"/>
      <c r="V8" s="629"/>
      <c r="W8" s="629"/>
      <c r="X8" s="629"/>
      <c r="Y8" s="629"/>
      <c r="Z8" s="629"/>
      <c r="AA8" s="629"/>
      <c r="AB8" s="629"/>
      <c r="AC8" s="629"/>
      <c r="AD8" s="629"/>
      <c r="AE8" s="629"/>
      <c r="AF8" s="629"/>
      <c r="AG8" s="629"/>
      <c r="AH8" s="629"/>
      <c r="AI8" s="629"/>
      <c r="AJ8" s="629"/>
      <c r="AK8" s="629"/>
      <c r="AL8" s="629"/>
      <c r="AM8" s="629"/>
      <c r="AN8" s="629"/>
      <c r="AO8" s="629"/>
      <c r="AP8" s="629"/>
      <c r="AQ8" s="629"/>
      <c r="AR8" s="629"/>
      <c r="AS8" s="629"/>
      <c r="AT8" s="629"/>
      <c r="AU8" s="629"/>
      <c r="AV8" s="629"/>
      <c r="AW8" s="629"/>
      <c r="AX8" s="629"/>
      <c r="AY8" s="629"/>
      <c r="AZ8" s="629"/>
      <c r="BA8" s="629"/>
      <c r="BB8" s="629"/>
      <c r="BC8" s="629"/>
      <c r="BD8" s="629"/>
      <c r="BE8" s="629"/>
      <c r="BF8" s="629"/>
      <c r="BG8" s="629"/>
      <c r="BH8" s="629"/>
      <c r="BI8" s="629"/>
      <c r="BJ8" s="629"/>
      <c r="BK8" s="629"/>
      <c r="BL8" s="629"/>
      <c r="BM8" s="629"/>
      <c r="BN8" s="629"/>
      <c r="BO8" s="629"/>
      <c r="BP8" s="629"/>
      <c r="BQ8" s="629"/>
      <c r="BR8" s="629"/>
      <c r="BS8" s="629"/>
      <c r="BT8" s="629"/>
      <c r="BU8" s="629"/>
      <c r="BV8" s="297"/>
      <c r="BW8" s="297"/>
      <c r="BX8" s="9"/>
    </row>
    <row r="9" spans="3:80" ht="18" customHeight="1" x14ac:dyDescent="0.2">
      <c r="C9" s="9"/>
      <c r="E9" s="53" t="s">
        <v>290</v>
      </c>
      <c r="F9" s="36"/>
      <c r="G9" s="19"/>
      <c r="H9" s="299" t="s">
        <v>3</v>
      </c>
      <c r="I9" s="19"/>
      <c r="J9" s="19"/>
      <c r="K9" s="36"/>
      <c r="L9" s="19"/>
      <c r="M9" s="19" t="s">
        <v>4</v>
      </c>
      <c r="N9" s="19"/>
      <c r="O9" s="19"/>
      <c r="P9" s="36"/>
      <c r="Q9" s="19"/>
      <c r="R9" s="19" t="s">
        <v>5</v>
      </c>
      <c r="S9" s="19"/>
      <c r="T9" s="19"/>
      <c r="U9" s="36"/>
      <c r="V9" s="19"/>
      <c r="W9" s="19" t="s">
        <v>6</v>
      </c>
      <c r="X9" s="19"/>
      <c r="Y9" s="19"/>
      <c r="Z9" s="36"/>
      <c r="AA9" s="19"/>
      <c r="AB9" s="19" t="s">
        <v>7</v>
      </c>
      <c r="AC9" s="19"/>
      <c r="AD9" s="19"/>
      <c r="AE9" s="36"/>
      <c r="AF9" s="19"/>
      <c r="AG9" s="19" t="s">
        <v>8</v>
      </c>
      <c r="AH9" s="19"/>
      <c r="AI9" s="19"/>
      <c r="AJ9" s="36"/>
      <c r="AK9" s="19"/>
      <c r="AL9" s="19" t="s">
        <v>9</v>
      </c>
      <c r="AM9" s="19"/>
      <c r="AN9" s="19"/>
      <c r="AO9" s="36"/>
      <c r="AP9" s="19"/>
      <c r="AQ9" s="19" t="s">
        <v>10</v>
      </c>
      <c r="AR9" s="19"/>
      <c r="AS9" s="19"/>
      <c r="AT9" s="36"/>
      <c r="AU9" s="19"/>
      <c r="AV9" s="19" t="s">
        <v>11</v>
      </c>
      <c r="AW9" s="19"/>
      <c r="AX9" s="19"/>
      <c r="AY9" s="36"/>
      <c r="AZ9" s="19"/>
      <c r="BA9" s="19" t="s">
        <v>12</v>
      </c>
      <c r="BB9" s="19"/>
      <c r="BC9" s="19"/>
      <c r="BD9" s="36"/>
      <c r="BE9" s="19"/>
      <c r="BF9" s="19" t="s">
        <v>13</v>
      </c>
      <c r="BG9" s="19"/>
      <c r="BH9" s="19"/>
      <c r="BI9" s="36"/>
      <c r="BJ9" s="19"/>
      <c r="BK9" s="19" t="s">
        <v>14</v>
      </c>
      <c r="BL9" s="19"/>
      <c r="BM9" s="19"/>
      <c r="BN9" s="36"/>
      <c r="BO9" s="19"/>
      <c r="BP9" s="19" t="s">
        <v>15</v>
      </c>
      <c r="BQ9" s="19"/>
      <c r="BR9" s="19"/>
      <c r="BS9" s="36"/>
      <c r="BT9" s="19"/>
      <c r="BU9" s="19" t="s">
        <v>16</v>
      </c>
      <c r="BV9" s="19"/>
      <c r="BW9" s="19"/>
      <c r="BX9" s="9"/>
    </row>
    <row r="10" spans="3:80" ht="14.25" customHeight="1" x14ac:dyDescent="0.2">
      <c r="C10" s="300" t="s">
        <v>17</v>
      </c>
      <c r="D10" s="301"/>
      <c r="E10" s="88"/>
      <c r="F10" s="302"/>
      <c r="G10" s="89"/>
      <c r="H10" s="303" t="s">
        <v>18</v>
      </c>
      <c r="I10" s="89"/>
      <c r="J10" s="89"/>
      <c r="K10" s="302"/>
      <c r="L10" s="89"/>
      <c r="M10" s="89"/>
      <c r="N10" s="89"/>
      <c r="O10" s="89"/>
      <c r="P10" s="302"/>
      <c r="Q10" s="89"/>
      <c r="R10" s="89"/>
      <c r="S10" s="89"/>
      <c r="T10" s="89"/>
      <c r="U10" s="302"/>
      <c r="V10" s="89"/>
      <c r="W10" s="89"/>
      <c r="X10" s="89"/>
      <c r="Y10" s="89"/>
      <c r="Z10" s="302"/>
      <c r="AA10" s="89"/>
      <c r="AB10" s="89"/>
      <c r="AC10" s="89"/>
      <c r="AD10" s="89"/>
      <c r="AE10" s="302"/>
      <c r="AF10" s="89"/>
      <c r="AG10" s="89"/>
      <c r="AH10" s="89"/>
      <c r="AI10" s="89"/>
      <c r="AJ10" s="302"/>
      <c r="AK10" s="89"/>
      <c r="AL10" s="89"/>
      <c r="AM10" s="89"/>
      <c r="AN10" s="89"/>
      <c r="AO10" s="302"/>
      <c r="AP10" s="89"/>
      <c r="AQ10" s="89"/>
      <c r="AR10" s="89"/>
      <c r="AS10" s="89"/>
      <c r="AT10" s="302"/>
      <c r="AU10" s="89"/>
      <c r="AV10" s="89"/>
      <c r="AW10" s="89"/>
      <c r="AX10" s="89"/>
      <c r="AY10" s="302"/>
      <c r="AZ10" s="89"/>
      <c r="BA10" s="89"/>
      <c r="BB10" s="89"/>
      <c r="BC10" s="89"/>
      <c r="BD10" s="302"/>
      <c r="BE10" s="89"/>
      <c r="BF10" s="89"/>
      <c r="BG10" s="89"/>
      <c r="BH10" s="89"/>
      <c r="BI10" s="302"/>
      <c r="BJ10" s="89"/>
      <c r="BK10" s="89"/>
      <c r="BL10" s="89"/>
      <c r="BM10" s="89"/>
      <c r="BN10" s="302"/>
      <c r="BO10" s="89"/>
      <c r="BP10" s="89"/>
      <c r="BQ10" s="89"/>
      <c r="BR10" s="89"/>
      <c r="BS10" s="302"/>
      <c r="BT10" s="89"/>
      <c r="BU10" s="89"/>
      <c r="BV10" s="89"/>
      <c r="BW10" s="89"/>
      <c r="BX10" s="9"/>
    </row>
    <row r="11" spans="3:80" x14ac:dyDescent="0.2">
      <c r="C11" s="9"/>
      <c r="E11" s="304"/>
      <c r="F11" s="156"/>
      <c r="K11" s="156"/>
      <c r="P11" s="156"/>
      <c r="U11" s="156"/>
      <c r="Z11" s="156"/>
      <c r="AE11" s="156"/>
      <c r="AJ11" s="156"/>
      <c r="AO11" s="156"/>
      <c r="AT11" s="156"/>
      <c r="AY11" s="156"/>
      <c r="BD11" s="156"/>
      <c r="BI11" s="156"/>
      <c r="BN11" s="156"/>
      <c r="BS11" s="156"/>
      <c r="BX11" s="9"/>
    </row>
    <row r="12" spans="3:80" x14ac:dyDescent="0.2">
      <c r="C12" s="9"/>
      <c r="E12" s="304"/>
      <c r="F12" s="156"/>
      <c r="K12" s="156"/>
      <c r="P12" s="156"/>
      <c r="U12" s="156"/>
      <c r="Z12" s="156"/>
      <c r="AE12" s="156"/>
      <c r="AJ12" s="156"/>
      <c r="AO12" s="156"/>
      <c r="AT12" s="156"/>
      <c r="AY12" s="156"/>
      <c r="BD12" s="156"/>
      <c r="BI12" s="156"/>
      <c r="BN12" s="156"/>
      <c r="BS12" s="156"/>
      <c r="BX12" s="9"/>
    </row>
    <row r="13" spans="3:80" s="10" customFormat="1" x14ac:dyDescent="0.2">
      <c r="C13" s="79" t="s">
        <v>291</v>
      </c>
      <c r="E13" s="305"/>
      <c r="F13" s="145"/>
      <c r="H13" s="10">
        <f>+H14+H21</f>
        <v>143000000</v>
      </c>
      <c r="K13" s="145"/>
      <c r="M13" s="306">
        <f>+M14+M21</f>
        <v>37582688</v>
      </c>
      <c r="P13" s="145"/>
      <c r="R13" s="306">
        <f>+R14+R21</f>
        <v>16125619</v>
      </c>
      <c r="U13" s="145"/>
      <c r="W13" s="306">
        <f>+W14+W21</f>
        <v>11567828</v>
      </c>
      <c r="Z13" s="145"/>
      <c r="AB13" s="306">
        <f>+AB14+AB21</f>
        <v>26289577</v>
      </c>
      <c r="AE13" s="145"/>
      <c r="AG13" s="306">
        <f>+AG14+AG21</f>
        <v>-5974831</v>
      </c>
      <c r="AJ13" s="145"/>
      <c r="AL13" s="306">
        <f>+AL14+AL21</f>
        <v>1315362</v>
      </c>
      <c r="AO13" s="145"/>
      <c r="AQ13" s="306">
        <f>+AQ14+AQ21</f>
        <v>31098565</v>
      </c>
      <c r="AT13" s="145"/>
      <c r="AV13" s="306">
        <f>+AV14+AV21</f>
        <v>295423</v>
      </c>
      <c r="AY13" s="145"/>
      <c r="BA13" s="306">
        <f>+BA14+BA21</f>
        <v>-33015782</v>
      </c>
      <c r="BD13" s="145"/>
      <c r="BF13" s="306">
        <f>+BF14+BF21</f>
        <v>15701292</v>
      </c>
      <c r="BI13" s="145"/>
      <c r="BK13" s="306">
        <f>+BK14+BK21</f>
        <v>0</v>
      </c>
      <c r="BL13" s="306"/>
      <c r="BM13" s="306"/>
      <c r="BN13" s="307"/>
      <c r="BO13" s="306"/>
      <c r="BP13" s="306">
        <f>+BP14+BP21</f>
        <v>0</v>
      </c>
      <c r="BS13" s="145"/>
      <c r="BU13" s="10">
        <f>+BU14+BU21</f>
        <v>100985741</v>
      </c>
      <c r="BX13" s="79"/>
      <c r="CB13" s="10" t="e">
        <f>#REF!-#REF!</f>
        <v>#REF!</v>
      </c>
    </row>
    <row r="14" spans="3:80" x14ac:dyDescent="0.2">
      <c r="C14" s="9" t="s">
        <v>292</v>
      </c>
      <c r="E14" s="304"/>
      <c r="F14" s="156"/>
      <c r="G14" s="309"/>
      <c r="H14" s="86">
        <f>SUM(H15:H19)</f>
        <v>143000000</v>
      </c>
      <c r="I14" s="310"/>
      <c r="K14" s="156"/>
      <c r="L14" s="309"/>
      <c r="M14" s="311">
        <f>SUM(M15:M19)</f>
        <v>3561000</v>
      </c>
      <c r="N14" s="310"/>
      <c r="P14" s="156"/>
      <c r="Q14" s="309"/>
      <c r="R14" s="311">
        <f>SUM(R15:R19)</f>
        <v>10247350</v>
      </c>
      <c r="S14" s="310"/>
      <c r="U14" s="156"/>
      <c r="V14" s="309"/>
      <c r="W14" s="311">
        <f>SUM(W15:W19)</f>
        <v>11808200</v>
      </c>
      <c r="X14" s="310"/>
      <c r="Z14" s="156"/>
      <c r="AA14" s="309"/>
      <c r="AB14" s="311">
        <f>SUM(AB15:AB19)</f>
        <v>16584620</v>
      </c>
      <c r="AC14" s="310"/>
      <c r="AE14" s="156"/>
      <c r="AF14" s="309"/>
      <c r="AG14" s="311">
        <f>SUM(AG15:AG19)</f>
        <v>12547400</v>
      </c>
      <c r="AH14" s="310"/>
      <c r="AJ14" s="156"/>
      <c r="AK14" s="309"/>
      <c r="AL14" s="311">
        <f>SUM(AL15:AL19)</f>
        <v>17988450</v>
      </c>
      <c r="AM14" s="310"/>
      <c r="AO14" s="156"/>
      <c r="AP14" s="309"/>
      <c r="AQ14" s="311">
        <f>SUM(AQ15:AQ19)</f>
        <v>12270800</v>
      </c>
      <c r="AR14" s="310"/>
      <c r="AT14" s="156"/>
      <c r="AU14" s="309"/>
      <c r="AV14" s="311">
        <f>SUM(AV15:AV19)</f>
        <v>9515730</v>
      </c>
      <c r="AW14" s="310"/>
      <c r="AY14" s="156"/>
      <c r="AZ14" s="309"/>
      <c r="BA14" s="311">
        <f>SUM(BA15:BA19)</f>
        <v>517060</v>
      </c>
      <c r="BB14" s="310"/>
      <c r="BD14" s="156"/>
      <c r="BE14" s="309"/>
      <c r="BF14" s="311">
        <f>SUM(BF15:BF19)</f>
        <v>8378430</v>
      </c>
      <c r="BG14" s="310"/>
      <c r="BI14" s="156"/>
      <c r="BJ14" s="309"/>
      <c r="BK14" s="311">
        <f>SUM(BK15:BK19)</f>
        <v>0</v>
      </c>
      <c r="BL14" s="310"/>
      <c r="BN14" s="156"/>
      <c r="BO14" s="309"/>
      <c r="BP14" s="312">
        <f>SUM(BP15:BP19)</f>
        <v>0</v>
      </c>
      <c r="BQ14" s="310"/>
      <c r="BS14" s="156"/>
      <c r="BT14" s="309"/>
      <c r="BU14" s="86">
        <f>SUM(BU15:BU19)</f>
        <v>103419040</v>
      </c>
      <c r="BV14" s="310"/>
      <c r="BX14" s="9"/>
      <c r="CA14" s="10"/>
      <c r="CB14" s="10" t="e">
        <f>#REF!-#REF!</f>
        <v>#REF!</v>
      </c>
    </row>
    <row r="15" spans="3:80" hidden="1" x14ac:dyDescent="0.2">
      <c r="C15" s="148" t="s">
        <v>293</v>
      </c>
      <c r="D15" s="149"/>
      <c r="E15" s="304"/>
      <c r="F15" s="156"/>
      <c r="G15" s="156"/>
      <c r="H15" s="314">
        <v>0</v>
      </c>
      <c r="I15" s="150"/>
      <c r="K15" s="156"/>
      <c r="L15" s="156"/>
      <c r="M15" s="315">
        <v>0</v>
      </c>
      <c r="N15" s="150"/>
      <c r="P15" s="156"/>
      <c r="Q15" s="156"/>
      <c r="R15" s="315">
        <v>0</v>
      </c>
      <c r="S15" s="150"/>
      <c r="U15" s="156"/>
      <c r="V15" s="156"/>
      <c r="W15" s="315">
        <v>0</v>
      </c>
      <c r="X15" s="150"/>
      <c r="Z15" s="156"/>
      <c r="AA15" s="156"/>
      <c r="AB15" s="315">
        <v>0</v>
      </c>
      <c r="AC15" s="150"/>
      <c r="AE15" s="156"/>
      <c r="AF15" s="156"/>
      <c r="AG15" s="315">
        <v>0</v>
      </c>
      <c r="AH15" s="150"/>
      <c r="AJ15" s="156"/>
      <c r="AK15" s="156"/>
      <c r="AL15" s="315">
        <v>0</v>
      </c>
      <c r="AM15" s="150"/>
      <c r="AO15" s="156"/>
      <c r="AP15" s="156"/>
      <c r="AQ15" s="315">
        <v>0</v>
      </c>
      <c r="AR15" s="150"/>
      <c r="AT15" s="156"/>
      <c r="AU15" s="156"/>
      <c r="AV15" s="315">
        <v>0</v>
      </c>
      <c r="AW15" s="150"/>
      <c r="AY15" s="156"/>
      <c r="AZ15" s="156"/>
      <c r="BA15" s="315">
        <v>0</v>
      </c>
      <c r="BB15" s="150"/>
      <c r="BD15" s="156"/>
      <c r="BE15" s="156"/>
      <c r="BF15" s="315">
        <v>0</v>
      </c>
      <c r="BG15" s="150"/>
      <c r="BI15" s="156"/>
      <c r="BJ15" s="156"/>
      <c r="BK15" s="315">
        <v>0</v>
      </c>
      <c r="BL15" s="150"/>
      <c r="BN15" s="156"/>
      <c r="BO15" s="156"/>
      <c r="BP15" s="315">
        <v>0</v>
      </c>
      <c r="BQ15" s="150"/>
      <c r="BS15" s="156"/>
      <c r="BT15" s="156"/>
      <c r="BU15" s="315">
        <f>SUM(M15:BP15)</f>
        <v>0</v>
      </c>
      <c r="BV15" s="150"/>
      <c r="BX15" s="9"/>
      <c r="CA15" s="10"/>
      <c r="CB15" s="10" t="e">
        <f>#REF!-#REF!</f>
        <v>#REF!</v>
      </c>
    </row>
    <row r="16" spans="3:80" x14ac:dyDescent="0.2">
      <c r="C16" s="148" t="s">
        <v>294</v>
      </c>
      <c r="D16" s="149"/>
      <c r="E16" s="304"/>
      <c r="F16" s="156"/>
      <c r="G16" s="156"/>
      <c r="H16" s="314">
        <v>7600000</v>
      </c>
      <c r="I16" s="150"/>
      <c r="K16" s="156"/>
      <c r="L16" s="156"/>
      <c r="M16" s="315">
        <v>1151700</v>
      </c>
      <c r="N16" s="150"/>
      <c r="P16" s="156"/>
      <c r="Q16" s="156"/>
      <c r="R16" s="315">
        <v>3396850</v>
      </c>
      <c r="S16" s="150"/>
      <c r="U16" s="156"/>
      <c r="V16" s="156"/>
      <c r="W16" s="315">
        <v>3277100</v>
      </c>
      <c r="X16" s="150"/>
      <c r="Z16" s="156"/>
      <c r="AA16" s="156"/>
      <c r="AB16" s="315">
        <v>1390400</v>
      </c>
      <c r="AC16" s="150"/>
      <c r="AE16" s="156"/>
      <c r="AF16" s="156"/>
      <c r="AG16" s="315">
        <v>-727100</v>
      </c>
      <c r="AH16" s="150"/>
      <c r="AJ16" s="156"/>
      <c r="AK16" s="156"/>
      <c r="AL16" s="315">
        <v>-1077800</v>
      </c>
      <c r="AM16" s="150"/>
      <c r="AO16" s="156"/>
      <c r="AP16" s="156"/>
      <c r="AQ16" s="315">
        <v>187300</v>
      </c>
      <c r="AR16" s="150"/>
      <c r="AT16" s="156"/>
      <c r="AU16" s="156"/>
      <c r="AV16" s="315">
        <v>-426670</v>
      </c>
      <c r="AW16" s="150"/>
      <c r="AY16" s="156"/>
      <c r="AZ16" s="156"/>
      <c r="BA16" s="315">
        <v>-407000</v>
      </c>
      <c r="BB16" s="150"/>
      <c r="BD16" s="102"/>
      <c r="BE16" s="156"/>
      <c r="BF16" s="315">
        <v>-496600</v>
      </c>
      <c r="BG16" s="150"/>
      <c r="BI16" s="156"/>
      <c r="BJ16" s="156"/>
      <c r="BK16" s="315">
        <v>0</v>
      </c>
      <c r="BL16" s="150"/>
      <c r="BN16" s="156"/>
      <c r="BO16" s="156"/>
      <c r="BP16" s="102">
        <v>0</v>
      </c>
      <c r="BQ16" s="150"/>
      <c r="BS16" s="156"/>
      <c r="BT16" s="156"/>
      <c r="BU16" s="315">
        <f>SUM(M16:BP16)</f>
        <v>6268180</v>
      </c>
      <c r="BV16" s="150"/>
      <c r="BX16" s="9"/>
      <c r="CA16" s="10"/>
      <c r="CB16" s="10" t="e">
        <f>#REF!-#REF!</f>
        <v>#REF!</v>
      </c>
    </row>
    <row r="17" spans="3:80" x14ac:dyDescent="0.2">
      <c r="C17" s="148" t="s">
        <v>295</v>
      </c>
      <c r="D17" s="149"/>
      <c r="E17" s="304"/>
      <c r="F17" s="156"/>
      <c r="G17" s="156"/>
      <c r="H17" s="316">
        <v>21966000</v>
      </c>
      <c r="I17" s="150"/>
      <c r="K17" s="156"/>
      <c r="L17" s="156"/>
      <c r="M17" s="102">
        <v>-102350</v>
      </c>
      <c r="N17" s="150"/>
      <c r="P17" s="156"/>
      <c r="Q17" s="156"/>
      <c r="R17" s="102">
        <v>4585900</v>
      </c>
      <c r="S17" s="150"/>
      <c r="U17" s="156"/>
      <c r="V17" s="156"/>
      <c r="W17" s="102">
        <v>5164300</v>
      </c>
      <c r="X17" s="150"/>
      <c r="Z17" s="156"/>
      <c r="AA17" s="156"/>
      <c r="AB17" s="102">
        <v>4295800</v>
      </c>
      <c r="AC17" s="150"/>
      <c r="AE17" s="156"/>
      <c r="AF17" s="156"/>
      <c r="AG17" s="102">
        <v>4060000</v>
      </c>
      <c r="AH17" s="150"/>
      <c r="AJ17" s="156"/>
      <c r="AK17" s="156"/>
      <c r="AL17" s="102">
        <v>4689950</v>
      </c>
      <c r="AM17" s="150"/>
      <c r="AO17" s="156"/>
      <c r="AP17" s="156"/>
      <c r="AQ17" s="102">
        <v>1089600</v>
      </c>
      <c r="AR17" s="150"/>
      <c r="AT17" s="156"/>
      <c r="AU17" s="156"/>
      <c r="AV17" s="102">
        <v>-648800</v>
      </c>
      <c r="AW17" s="150"/>
      <c r="AY17" s="156"/>
      <c r="AZ17" s="156"/>
      <c r="BA17" s="102">
        <v>-7467800</v>
      </c>
      <c r="BB17" s="150"/>
      <c r="BD17" s="156"/>
      <c r="BE17" s="156"/>
      <c r="BF17" s="102">
        <v>0</v>
      </c>
      <c r="BG17" s="150"/>
      <c r="BI17" s="156"/>
      <c r="BJ17" s="156"/>
      <c r="BK17" s="102">
        <v>0</v>
      </c>
      <c r="BL17" s="150"/>
      <c r="BN17" s="156"/>
      <c r="BO17" s="156"/>
      <c r="BP17" s="102">
        <v>0</v>
      </c>
      <c r="BQ17" s="150"/>
      <c r="BS17" s="156"/>
      <c r="BT17" s="156"/>
      <c r="BU17" s="102">
        <f>SUM(M17:BP17)</f>
        <v>15666600</v>
      </c>
      <c r="BV17" s="150"/>
      <c r="BX17" s="9"/>
      <c r="CA17" s="10"/>
      <c r="CB17" s="10" t="e">
        <f>#REF!-#REF!</f>
        <v>#REF!</v>
      </c>
    </row>
    <row r="18" spans="3:80" x14ac:dyDescent="0.2">
      <c r="C18" s="148" t="s">
        <v>296</v>
      </c>
      <c r="D18" s="149"/>
      <c r="E18" s="304"/>
      <c r="F18" s="156"/>
      <c r="G18" s="156"/>
      <c r="H18" s="316">
        <v>48507000</v>
      </c>
      <c r="I18" s="150"/>
      <c r="K18" s="156"/>
      <c r="L18" s="156"/>
      <c r="M18" s="102">
        <v>830100</v>
      </c>
      <c r="N18" s="150"/>
      <c r="P18" s="156"/>
      <c r="Q18" s="156"/>
      <c r="R18" s="102">
        <v>1373600</v>
      </c>
      <c r="S18" s="150"/>
      <c r="U18" s="156"/>
      <c r="V18" s="156"/>
      <c r="W18" s="102">
        <v>1756500</v>
      </c>
      <c r="X18" s="150"/>
      <c r="Z18" s="156"/>
      <c r="AA18" s="156"/>
      <c r="AB18" s="102">
        <v>4166600</v>
      </c>
      <c r="AC18" s="150"/>
      <c r="AE18" s="156"/>
      <c r="AF18" s="156"/>
      <c r="AG18" s="102">
        <v>4360000</v>
      </c>
      <c r="AH18" s="150"/>
      <c r="AJ18" s="156"/>
      <c r="AK18" s="156"/>
      <c r="AL18" s="102">
        <v>7501300</v>
      </c>
      <c r="AM18" s="150"/>
      <c r="AO18" s="156"/>
      <c r="AP18" s="156"/>
      <c r="AQ18" s="102">
        <v>6284700</v>
      </c>
      <c r="AR18" s="150"/>
      <c r="AT18" s="156"/>
      <c r="AU18" s="156"/>
      <c r="AV18" s="102">
        <v>5731200</v>
      </c>
      <c r="AW18" s="150"/>
      <c r="AY18" s="156"/>
      <c r="AZ18" s="156"/>
      <c r="BA18" s="102">
        <v>3549100</v>
      </c>
      <c r="BB18" s="150"/>
      <c r="BD18" s="156"/>
      <c r="BE18" s="156"/>
      <c r="BF18" s="102">
        <v>3400000</v>
      </c>
      <c r="BG18" s="150"/>
      <c r="BI18" s="156"/>
      <c r="BJ18" s="156"/>
      <c r="BK18" s="102">
        <v>0</v>
      </c>
      <c r="BL18" s="150"/>
      <c r="BN18" s="156"/>
      <c r="BO18" s="156"/>
      <c r="BP18" s="102">
        <v>0</v>
      </c>
      <c r="BQ18" s="150"/>
      <c r="BS18" s="156"/>
      <c r="BT18" s="156"/>
      <c r="BU18" s="102">
        <f>SUM(M18:BP18)</f>
        <v>38953100</v>
      </c>
      <c r="BV18" s="150"/>
      <c r="BX18" s="9"/>
      <c r="CA18" s="10"/>
      <c r="CB18" s="10" t="e">
        <f>#REF!-#REF!</f>
        <v>#REF!</v>
      </c>
    </row>
    <row r="19" spans="3:80" x14ac:dyDescent="0.2">
      <c r="C19" s="148" t="s">
        <v>297</v>
      </c>
      <c r="D19" s="149"/>
      <c r="E19" s="304"/>
      <c r="F19" s="156"/>
      <c r="G19" s="156"/>
      <c r="H19" s="317">
        <v>64927000</v>
      </c>
      <c r="I19" s="150"/>
      <c r="K19" s="156"/>
      <c r="L19" s="156"/>
      <c r="M19" s="163">
        <v>1681550</v>
      </c>
      <c r="N19" s="150"/>
      <c r="P19" s="156"/>
      <c r="Q19" s="156"/>
      <c r="R19" s="163">
        <v>891000</v>
      </c>
      <c r="S19" s="150"/>
      <c r="U19" s="156"/>
      <c r="V19" s="156"/>
      <c r="W19" s="163">
        <v>1610300</v>
      </c>
      <c r="X19" s="150"/>
      <c r="Z19" s="156"/>
      <c r="AA19" s="156"/>
      <c r="AB19" s="163">
        <v>6731820</v>
      </c>
      <c r="AC19" s="150"/>
      <c r="AE19" s="156"/>
      <c r="AF19" s="156"/>
      <c r="AG19" s="163">
        <v>4854500</v>
      </c>
      <c r="AH19" s="150"/>
      <c r="AJ19" s="156"/>
      <c r="AK19" s="156"/>
      <c r="AL19" s="163">
        <v>6875000</v>
      </c>
      <c r="AM19" s="150"/>
      <c r="AO19" s="156"/>
      <c r="AP19" s="156"/>
      <c r="AQ19" s="163">
        <v>4709200</v>
      </c>
      <c r="AR19" s="150"/>
      <c r="AT19" s="156"/>
      <c r="AU19" s="156"/>
      <c r="AV19" s="163">
        <v>4860000</v>
      </c>
      <c r="AW19" s="150"/>
      <c r="AY19" s="156"/>
      <c r="AZ19" s="156"/>
      <c r="BA19" s="163">
        <v>4842760</v>
      </c>
      <c r="BB19" s="150"/>
      <c r="BD19" s="156"/>
      <c r="BE19" s="156"/>
      <c r="BF19" s="163">
        <v>5475030</v>
      </c>
      <c r="BG19" s="150"/>
      <c r="BI19" s="156"/>
      <c r="BJ19" s="156"/>
      <c r="BK19" s="163">
        <v>0</v>
      </c>
      <c r="BL19" s="150"/>
      <c r="BN19" s="156"/>
      <c r="BO19" s="156"/>
      <c r="BP19" s="163">
        <v>0</v>
      </c>
      <c r="BQ19" s="150"/>
      <c r="BS19" s="156"/>
      <c r="BT19" s="156"/>
      <c r="BU19" s="163">
        <f>SUM(M19:BP19)</f>
        <v>42531160</v>
      </c>
      <c r="BV19" s="150"/>
      <c r="BX19" s="9"/>
      <c r="CA19" s="10"/>
      <c r="CB19" s="10" t="e">
        <f>#REF!-#REF!</f>
        <v>#REF!</v>
      </c>
    </row>
    <row r="20" spans="3:80" x14ac:dyDescent="0.2">
      <c r="C20" s="9"/>
      <c r="E20" s="304"/>
      <c r="F20" s="156"/>
      <c r="G20" s="156"/>
      <c r="I20" s="150"/>
      <c r="K20" s="156"/>
      <c r="L20" s="156"/>
      <c r="N20" s="150"/>
      <c r="P20" s="156"/>
      <c r="Q20" s="156"/>
      <c r="S20" s="150"/>
      <c r="U20" s="156"/>
      <c r="V20" s="156"/>
      <c r="X20" s="150"/>
      <c r="Z20" s="156"/>
      <c r="AA20" s="156"/>
      <c r="AC20" s="150"/>
      <c r="AE20" s="156"/>
      <c r="AF20" s="156"/>
      <c r="AH20" s="150"/>
      <c r="AJ20" s="156"/>
      <c r="AK20" s="156"/>
      <c r="AM20" s="150"/>
      <c r="AO20" s="156"/>
      <c r="AP20" s="156"/>
      <c r="AR20" s="150"/>
      <c r="AT20" s="156"/>
      <c r="AU20" s="156"/>
      <c r="AW20" s="150"/>
      <c r="AY20" s="156"/>
      <c r="AZ20" s="156"/>
      <c r="BB20" s="150"/>
      <c r="BD20" s="156"/>
      <c r="BE20" s="156"/>
      <c r="BG20" s="150"/>
      <c r="BI20" s="156"/>
      <c r="BJ20" s="156"/>
      <c r="BL20" s="150"/>
      <c r="BN20" s="156"/>
      <c r="BO20" s="156"/>
      <c r="BQ20" s="150"/>
      <c r="BS20" s="156"/>
      <c r="BT20" s="156"/>
      <c r="BV20" s="150"/>
      <c r="BX20" s="9"/>
      <c r="CA20" s="10"/>
      <c r="CB20" s="10" t="e">
        <f>#REF!-#REF!</f>
        <v>#REF!</v>
      </c>
    </row>
    <row r="21" spans="3:80" x14ac:dyDescent="0.2">
      <c r="C21" s="319" t="s">
        <v>298</v>
      </c>
      <c r="D21" s="149"/>
      <c r="E21" s="304"/>
      <c r="F21" s="156"/>
      <c r="G21" s="320"/>
      <c r="H21" s="321">
        <v>0</v>
      </c>
      <c r="I21" s="162"/>
      <c r="K21" s="156"/>
      <c r="L21" s="320"/>
      <c r="M21" s="158">
        <v>34021688</v>
      </c>
      <c r="N21" s="162"/>
      <c r="P21" s="156"/>
      <c r="Q21" s="320"/>
      <c r="R21" s="158">
        <v>5878269</v>
      </c>
      <c r="S21" s="162"/>
      <c r="U21" s="156"/>
      <c r="V21" s="320"/>
      <c r="W21" s="158">
        <v>-240372</v>
      </c>
      <c r="X21" s="162"/>
      <c r="Z21" s="156"/>
      <c r="AA21" s="320"/>
      <c r="AB21" s="158">
        <v>9704957</v>
      </c>
      <c r="AC21" s="162"/>
      <c r="AE21" s="156"/>
      <c r="AF21" s="320"/>
      <c r="AG21" s="158">
        <v>-18522231</v>
      </c>
      <c r="AH21" s="162"/>
      <c r="AJ21" s="156"/>
      <c r="AK21" s="320"/>
      <c r="AL21" s="158">
        <v>-16673088</v>
      </c>
      <c r="AM21" s="162"/>
      <c r="AO21" s="156"/>
      <c r="AP21" s="320"/>
      <c r="AQ21" s="158">
        <v>18827765</v>
      </c>
      <c r="AR21" s="162"/>
      <c r="AT21" s="156"/>
      <c r="AU21" s="320"/>
      <c r="AV21" s="158">
        <v>-9220307</v>
      </c>
      <c r="AW21" s="162"/>
      <c r="AY21" s="156"/>
      <c r="AZ21" s="320"/>
      <c r="BA21" s="158">
        <v>-33532842</v>
      </c>
      <c r="BB21" s="162"/>
      <c r="BD21" s="156"/>
      <c r="BE21" s="320"/>
      <c r="BF21" s="158">
        <v>7322862</v>
      </c>
      <c r="BG21" s="162"/>
      <c r="BI21" s="156"/>
      <c r="BJ21" s="320"/>
      <c r="BK21" s="158">
        <v>0</v>
      </c>
      <c r="BL21" s="162"/>
      <c r="BN21" s="156"/>
      <c r="BO21" s="320"/>
      <c r="BP21" s="158">
        <v>0</v>
      </c>
      <c r="BQ21" s="162"/>
      <c r="BS21" s="156"/>
      <c r="BT21" s="320"/>
      <c r="BU21" s="158">
        <f>SUM(M21:BP21)</f>
        <v>-2433299</v>
      </c>
      <c r="BV21" s="162"/>
      <c r="BX21" s="9"/>
      <c r="CA21" s="10"/>
      <c r="CB21" s="10" t="e">
        <f>#REF!-#REF!</f>
        <v>#REF!</v>
      </c>
    </row>
    <row r="22" spans="3:80" x14ac:dyDescent="0.2">
      <c r="C22" s="9"/>
      <c r="E22" s="304"/>
      <c r="F22" s="322"/>
      <c r="G22" s="323"/>
      <c r="K22" s="156"/>
      <c r="P22" s="156"/>
      <c r="U22" s="156"/>
      <c r="Z22" s="156"/>
      <c r="AE22" s="156"/>
      <c r="AJ22" s="156"/>
      <c r="AO22" s="156"/>
      <c r="AT22" s="156"/>
      <c r="AY22" s="156"/>
      <c r="BD22" s="156"/>
      <c r="BI22" s="156"/>
      <c r="BN22" s="156"/>
      <c r="BS22" s="156"/>
      <c r="BX22" s="9"/>
      <c r="CA22" s="10"/>
      <c r="CB22" s="10" t="e">
        <f>#REF!-#REF!</f>
        <v>#REF!</v>
      </c>
    </row>
    <row r="23" spans="3:80" s="10" customFormat="1" x14ac:dyDescent="0.2">
      <c r="C23" s="79" t="s">
        <v>299</v>
      </c>
      <c r="E23" s="305"/>
      <c r="F23" s="324"/>
      <c r="G23" s="325"/>
      <c r="H23" s="10">
        <f>H24+H30+H35+H39</f>
        <v>410035000</v>
      </c>
      <c r="K23" s="145"/>
      <c r="M23" s="10">
        <f>M24+M30+M35</f>
        <v>32850713</v>
      </c>
      <c r="P23" s="145"/>
      <c r="R23" s="10">
        <f>R24+R30+R35+R39</f>
        <v>40638036.743999995</v>
      </c>
      <c r="U23" s="145"/>
      <c r="W23" s="10">
        <f>W24+W30+W35+W39</f>
        <v>43402900</v>
      </c>
      <c r="Z23" s="145"/>
      <c r="AB23" s="10">
        <f>AB24+AB30+AB35+AB39</f>
        <v>60600922</v>
      </c>
      <c r="AE23" s="145"/>
      <c r="AG23" s="10">
        <f>AG24+AG30+AG35+AG39</f>
        <v>37229982</v>
      </c>
      <c r="AJ23" s="145"/>
      <c r="AL23" s="10">
        <f>AL24+AL30+AL35+AL39</f>
        <v>50427153</v>
      </c>
      <c r="AO23" s="145"/>
      <c r="AQ23" s="10">
        <f>AQ24+AQ30+AQ35+AQ39</f>
        <v>50571945</v>
      </c>
      <c r="AT23" s="145"/>
      <c r="AV23" s="10">
        <f>AV24+AV30+AV35+AV39</f>
        <v>39211461</v>
      </c>
      <c r="AY23" s="145"/>
      <c r="BA23" s="10">
        <f>BA24+BA30+BA35+BA39</f>
        <v>45711722</v>
      </c>
      <c r="BD23" s="145"/>
      <c r="BF23" s="10">
        <f>BF24+BF30+BF35+BF39</f>
        <v>34673258</v>
      </c>
      <c r="BI23" s="145"/>
      <c r="BK23" s="10">
        <f>BK24+BK30+BK35+BK39</f>
        <v>0</v>
      </c>
      <c r="BN23" s="145"/>
      <c r="BP23" s="10">
        <f>BP24+BP30+BP35+BP39</f>
        <v>0</v>
      </c>
      <c r="BS23" s="145"/>
      <c r="BU23" s="10">
        <f>BU24+BU30+BU35+BU39</f>
        <v>435318092.74399996</v>
      </c>
      <c r="BX23" s="79"/>
      <c r="CB23" s="10" t="e">
        <f>#REF!-#REF!</f>
        <v>#REF!</v>
      </c>
    </row>
    <row r="24" spans="3:80" x14ac:dyDescent="0.2">
      <c r="C24" s="9" t="s">
        <v>300</v>
      </c>
      <c r="E24" s="304"/>
      <c r="F24" s="322"/>
      <c r="G24" s="326"/>
      <c r="H24" s="86">
        <f>SUM(H25:H28)</f>
        <v>410035000</v>
      </c>
      <c r="I24" s="310"/>
      <c r="K24" s="156"/>
      <c r="L24" s="309"/>
      <c r="M24" s="86">
        <f>SUM(M25:M28)</f>
        <v>32850713</v>
      </c>
      <c r="N24" s="310"/>
      <c r="P24" s="156"/>
      <c r="Q24" s="309"/>
      <c r="R24" s="86">
        <f>SUM(R25:R28)</f>
        <v>40638036.743999995</v>
      </c>
      <c r="S24" s="310"/>
      <c r="U24" s="156"/>
      <c r="V24" s="309"/>
      <c r="W24" s="86">
        <f>SUM(W25:W28)</f>
        <v>43402900</v>
      </c>
      <c r="X24" s="310"/>
      <c r="Z24" s="156"/>
      <c r="AA24" s="309"/>
      <c r="AB24" s="86">
        <f>SUM(AB25:AB28)</f>
        <v>60600922</v>
      </c>
      <c r="AC24" s="310"/>
      <c r="AE24" s="156"/>
      <c r="AF24" s="309"/>
      <c r="AG24" s="86">
        <f>SUM(AG25:AG28)</f>
        <v>37229982</v>
      </c>
      <c r="AH24" s="310"/>
      <c r="AJ24" s="156"/>
      <c r="AK24" s="309"/>
      <c r="AL24" s="86">
        <f>SUM(AL25:AL28)</f>
        <v>50427153</v>
      </c>
      <c r="AM24" s="310"/>
      <c r="AO24" s="156"/>
      <c r="AP24" s="309"/>
      <c r="AQ24" s="86">
        <f>SUM(AQ25:AQ28)</f>
        <v>50571945</v>
      </c>
      <c r="AR24" s="310"/>
      <c r="AT24" s="156"/>
      <c r="AU24" s="309"/>
      <c r="AV24" s="86">
        <f>SUM(AV25:AV28)</f>
        <v>39125584</v>
      </c>
      <c r="AW24" s="310"/>
      <c r="AY24" s="156"/>
      <c r="AZ24" s="309"/>
      <c r="BA24" s="86">
        <f>SUM(BA25:BA28)</f>
        <v>45797599</v>
      </c>
      <c r="BB24" s="310"/>
      <c r="BD24" s="156"/>
      <c r="BE24" s="309"/>
      <c r="BF24" s="86">
        <f>SUM(BF25:BF28)</f>
        <v>34673258</v>
      </c>
      <c r="BG24" s="310"/>
      <c r="BI24" s="156"/>
      <c r="BJ24" s="309"/>
      <c r="BK24" s="86">
        <f>SUM(BK25:BK28)</f>
        <v>0</v>
      </c>
      <c r="BL24" s="310"/>
      <c r="BN24" s="156"/>
      <c r="BO24" s="309"/>
      <c r="BP24" s="86">
        <f>SUM(BP25:BP28)</f>
        <v>0</v>
      </c>
      <c r="BQ24" s="310"/>
      <c r="BS24" s="156"/>
      <c r="BT24" s="309"/>
      <c r="BU24" s="86">
        <f>SUM(BU25:BU28)</f>
        <v>435318092.74399996</v>
      </c>
      <c r="BV24" s="310"/>
      <c r="BX24" s="9"/>
      <c r="CA24" s="10"/>
      <c r="CB24" s="10" t="e">
        <f>#REF!-#REF!</f>
        <v>#REF!</v>
      </c>
    </row>
    <row r="25" spans="3:80" x14ac:dyDescent="0.2">
      <c r="C25" s="9" t="s">
        <v>301</v>
      </c>
      <c r="E25" s="327" t="s">
        <v>302</v>
      </c>
      <c r="F25" s="328"/>
      <c r="G25" s="328"/>
      <c r="H25" s="315">
        <f>[54]domlongtermissues!G13</f>
        <v>514767000</v>
      </c>
      <c r="I25" s="150"/>
      <c r="K25" s="156"/>
      <c r="L25" s="156"/>
      <c r="M25" s="315">
        <f>[54]domlongtermissues!L13</f>
        <v>38350619</v>
      </c>
      <c r="N25" s="150"/>
      <c r="P25" s="156"/>
      <c r="Q25" s="156"/>
      <c r="R25" s="315">
        <f>[54]domlongtermissues!Q13</f>
        <v>45031287.743999995</v>
      </c>
      <c r="S25" s="150"/>
      <c r="U25" s="156"/>
      <c r="V25" s="156"/>
      <c r="W25" s="315">
        <f>[54]domlongtermissues!V13</f>
        <v>49600848</v>
      </c>
      <c r="X25" s="150"/>
      <c r="Z25" s="156"/>
      <c r="AA25" s="156"/>
      <c r="AB25" s="315">
        <f>[54]domlongtermissues!AA13</f>
        <v>69933031</v>
      </c>
      <c r="AC25" s="150"/>
      <c r="AE25" s="156"/>
      <c r="AF25" s="156"/>
      <c r="AG25" s="315">
        <f>[54]domlongtermissues!AF13</f>
        <v>44319358</v>
      </c>
      <c r="AH25" s="150"/>
      <c r="AJ25" s="156"/>
      <c r="AK25" s="156"/>
      <c r="AL25" s="315">
        <f>[54]domlongtermissues!AK13</f>
        <v>61486843</v>
      </c>
      <c r="AM25" s="150"/>
      <c r="AO25" s="156"/>
      <c r="AP25" s="156"/>
      <c r="AQ25" s="315">
        <f>[54]domlongtermissues!AP13</f>
        <v>59931421</v>
      </c>
      <c r="AR25" s="150"/>
      <c r="AT25" s="156"/>
      <c r="AU25" s="156"/>
      <c r="AV25" s="315">
        <f>[54]domlongtermissues!AU13</f>
        <v>46634910</v>
      </c>
      <c r="AW25" s="150"/>
      <c r="AY25" s="156"/>
      <c r="AZ25" s="156"/>
      <c r="BA25" s="315">
        <f>[54]domlongtermissues!AZ13</f>
        <v>52191398</v>
      </c>
      <c r="BB25" s="150"/>
      <c r="BD25" s="156"/>
      <c r="BE25" s="156"/>
      <c r="BF25" s="315">
        <f>[54]domlongtermissues!BE13</f>
        <v>39060638</v>
      </c>
      <c r="BG25" s="150"/>
      <c r="BI25" s="156"/>
      <c r="BJ25" s="156"/>
      <c r="BK25" s="315">
        <f>[54]domlongtermissues!BJ13</f>
        <v>0</v>
      </c>
      <c r="BL25" s="150"/>
      <c r="BN25" s="156"/>
      <c r="BO25" s="156"/>
      <c r="BP25" s="315">
        <f>[54]domlongtermissues!BO13</f>
        <v>0</v>
      </c>
      <c r="BQ25" s="150"/>
      <c r="BS25" s="156"/>
      <c r="BT25" s="156"/>
      <c r="BU25" s="315">
        <f>[54]domlongtermissues!BT13</f>
        <v>506540353.74399996</v>
      </c>
      <c r="BV25" s="150"/>
      <c r="BX25" s="9"/>
      <c r="CA25" s="10"/>
      <c r="CB25" s="10" t="e">
        <f>#REF!-#REF!</f>
        <v>#REF!</v>
      </c>
    </row>
    <row r="26" spans="3:80" x14ac:dyDescent="0.2">
      <c r="C26" s="9" t="s">
        <v>303</v>
      </c>
      <c r="E26" s="327" t="s">
        <v>302</v>
      </c>
      <c r="F26" s="328"/>
      <c r="G26" s="328"/>
      <c r="H26" s="102">
        <f>-[54]domlongtermissues!G20</f>
        <v>-52267000</v>
      </c>
      <c r="I26" s="150"/>
      <c r="K26" s="156"/>
      <c r="L26" s="156"/>
      <c r="M26" s="102">
        <f>-[54]domlongtermissues!L20</f>
        <v>-4299769</v>
      </c>
      <c r="N26" s="150"/>
      <c r="P26" s="156"/>
      <c r="Q26" s="156"/>
      <c r="R26" s="102">
        <f>-[54]domlongtermissues!Q20</f>
        <v>-4058204</v>
      </c>
      <c r="S26" s="150"/>
      <c r="U26" s="156"/>
      <c r="V26" s="156"/>
      <c r="W26" s="102">
        <f>-[54]domlongtermissues!V20</f>
        <v>-6085389</v>
      </c>
      <c r="X26" s="150"/>
      <c r="Z26" s="156"/>
      <c r="AA26" s="156"/>
      <c r="AB26" s="102">
        <f>-[54]domlongtermissues!AA20</f>
        <v>-8992564</v>
      </c>
      <c r="AC26" s="150"/>
      <c r="AE26" s="156"/>
      <c r="AF26" s="156"/>
      <c r="AG26" s="102">
        <f>-[54]domlongtermissues!AF20</f>
        <v>-6877121</v>
      </c>
      <c r="AH26" s="150"/>
      <c r="AJ26" s="156"/>
      <c r="AK26" s="156"/>
      <c r="AL26" s="102">
        <f>-[54]domlongtermissues!AK20</f>
        <v>-10836667</v>
      </c>
      <c r="AM26" s="150"/>
      <c r="AO26" s="156"/>
      <c r="AP26" s="156"/>
      <c r="AQ26" s="102">
        <f>-[54]domlongtermissues!AP20</f>
        <v>-9026146</v>
      </c>
      <c r="AR26" s="150"/>
      <c r="AT26" s="156"/>
      <c r="AU26" s="156"/>
      <c r="AV26" s="102">
        <f>-[54]domlongtermissues!AU20</f>
        <v>-7195171</v>
      </c>
      <c r="AW26" s="150"/>
      <c r="AY26" s="156"/>
      <c r="AZ26" s="156"/>
      <c r="BA26" s="102">
        <f>-[54]domlongtermissues!AZ20</f>
        <v>-6333842</v>
      </c>
      <c r="BB26" s="150"/>
      <c r="BD26" s="156"/>
      <c r="BE26" s="156"/>
      <c r="BF26" s="102">
        <f>-[54]domlongtermissues!BE20</f>
        <v>-3989426</v>
      </c>
      <c r="BG26" s="150"/>
      <c r="BI26" s="156"/>
      <c r="BJ26" s="156"/>
      <c r="BK26" s="102">
        <f>-[54]domlongtermissues!BJ20</f>
        <v>0</v>
      </c>
      <c r="BL26" s="150"/>
      <c r="BN26" s="156"/>
      <c r="BO26" s="156"/>
      <c r="BP26" s="102">
        <f>-[54]domlongtermissues!BO20</f>
        <v>0</v>
      </c>
      <c r="BQ26" s="150"/>
      <c r="BS26" s="156"/>
      <c r="BT26" s="156"/>
      <c r="BU26" s="102">
        <f>-[54]domlongtermissues!BT20</f>
        <v>-67694299</v>
      </c>
      <c r="BV26" s="150"/>
      <c r="BX26" s="9"/>
      <c r="CA26" s="10"/>
      <c r="CB26" s="10" t="e">
        <f>#REF!-#REF!</f>
        <v>#REF!</v>
      </c>
    </row>
    <row r="27" spans="3:80" x14ac:dyDescent="0.2">
      <c r="C27" s="9" t="s">
        <v>304</v>
      </c>
      <c r="E27" s="327" t="s">
        <v>305</v>
      </c>
      <c r="F27" s="328"/>
      <c r="G27" s="328"/>
      <c r="H27" s="163">
        <f>-[54]domredemp!G13</f>
        <v>-52465000</v>
      </c>
      <c r="I27" s="150"/>
      <c r="K27" s="156"/>
      <c r="L27" s="156"/>
      <c r="M27" s="102">
        <f>-[54]domredemp!L13</f>
        <v>-1200137</v>
      </c>
      <c r="N27" s="150"/>
      <c r="P27" s="156"/>
      <c r="Q27" s="156"/>
      <c r="R27" s="102">
        <f>-[54]domredemp!Q13</f>
        <v>-335047</v>
      </c>
      <c r="S27" s="150"/>
      <c r="U27" s="156"/>
      <c r="V27" s="156"/>
      <c r="W27" s="102">
        <f>-[54]domredemp!V13</f>
        <v>-112559</v>
      </c>
      <c r="X27" s="150"/>
      <c r="Z27" s="156"/>
      <c r="AA27" s="156"/>
      <c r="AB27" s="102">
        <f>-[54]domredemp!AA13</f>
        <v>-339545</v>
      </c>
      <c r="AC27" s="150"/>
      <c r="AE27" s="156"/>
      <c r="AF27" s="156"/>
      <c r="AG27" s="102">
        <f>-[54]domredemp!AF13</f>
        <v>-212255</v>
      </c>
      <c r="AH27" s="150"/>
      <c r="AJ27" s="156"/>
      <c r="AK27" s="156"/>
      <c r="AL27" s="102">
        <f>-[54]domredemp!AK13</f>
        <v>-223023</v>
      </c>
      <c r="AM27" s="150"/>
      <c r="AO27" s="156"/>
      <c r="AP27" s="156"/>
      <c r="AQ27" s="163">
        <f>-[54]domredemp!AP13</f>
        <v>-333330</v>
      </c>
      <c r="AR27" s="150"/>
      <c r="AT27" s="156"/>
      <c r="AU27" s="156"/>
      <c r="AV27" s="163">
        <f>-[54]domredemp!AU13</f>
        <v>-314155</v>
      </c>
      <c r="AW27" s="150"/>
      <c r="AY27" s="156"/>
      <c r="AZ27" s="156"/>
      <c r="BA27" s="163">
        <f>-[54]domredemp!AZ13</f>
        <v>-59957</v>
      </c>
      <c r="BB27" s="150"/>
      <c r="BD27" s="156"/>
      <c r="BE27" s="156"/>
      <c r="BF27" s="163">
        <f>-[54]domredemp!BE13</f>
        <v>-397954</v>
      </c>
      <c r="BG27" s="150"/>
      <c r="BI27" s="156"/>
      <c r="BJ27" s="156"/>
      <c r="BK27" s="102">
        <f>-[54]domredemp!BJ13</f>
        <v>0</v>
      </c>
      <c r="BL27" s="150"/>
      <c r="BN27" s="156"/>
      <c r="BO27" s="156"/>
      <c r="BP27" s="102">
        <f>-[54]domredemp!BO13</f>
        <v>0</v>
      </c>
      <c r="BQ27" s="150"/>
      <c r="BS27" s="156"/>
      <c r="BT27" s="156"/>
      <c r="BU27" s="163">
        <f>-[54]domredemp!BT13</f>
        <v>-3527962</v>
      </c>
      <c r="BV27" s="150"/>
      <c r="BX27" s="9"/>
      <c r="CA27" s="10"/>
      <c r="CB27" s="10" t="e">
        <f>#REF!-#REF!</f>
        <v>#REF!</v>
      </c>
    </row>
    <row r="28" spans="3:80" hidden="1" x14ac:dyDescent="0.2">
      <c r="C28" s="9" t="s">
        <v>306</v>
      </c>
      <c r="E28" s="327">
        <v>4.2</v>
      </c>
      <c r="F28" s="328"/>
      <c r="G28" s="328"/>
      <c r="H28" s="163">
        <f>-[54]domredemp!G16+[54]domredemp!G124</f>
        <v>0</v>
      </c>
      <c r="I28" s="150"/>
      <c r="K28" s="156"/>
      <c r="L28" s="156"/>
      <c r="M28" s="163">
        <f>-[54]domredemp!L16+[54]domredemp!L124</f>
        <v>0</v>
      </c>
      <c r="N28" s="150"/>
      <c r="P28" s="156"/>
      <c r="Q28" s="156"/>
      <c r="R28" s="163">
        <f>-[54]domredemp!Q16+[54]domredemp!Q124</f>
        <v>0</v>
      </c>
      <c r="S28" s="150"/>
      <c r="U28" s="156"/>
      <c r="V28" s="156"/>
      <c r="W28" s="163">
        <f>-[54]domredemp!V16+[54]domredemp!V124</f>
        <v>0</v>
      </c>
      <c r="X28" s="150"/>
      <c r="Z28" s="156"/>
      <c r="AA28" s="156"/>
      <c r="AB28" s="163">
        <f>-[54]domredemp!AA16+[54]domredemp!AA124</f>
        <v>0</v>
      </c>
      <c r="AC28" s="150"/>
      <c r="AE28" s="156"/>
      <c r="AF28" s="156"/>
      <c r="AG28" s="163">
        <f>-[54]domredemp!AF16+[54]domredemp!AF124</f>
        <v>0</v>
      </c>
      <c r="AH28" s="150"/>
      <c r="AJ28" s="156"/>
      <c r="AK28" s="156"/>
      <c r="AL28" s="163">
        <f>-[54]domredemp!AK16+[54]domredemp!AK124</f>
        <v>0</v>
      </c>
      <c r="AM28" s="150"/>
      <c r="AO28" s="156"/>
      <c r="AP28" s="156"/>
      <c r="AQ28" s="163">
        <f>-[54]domredemp!AP16+[54]domredemp!AP124</f>
        <v>0</v>
      </c>
      <c r="AR28" s="150"/>
      <c r="AT28" s="156"/>
      <c r="AU28" s="156"/>
      <c r="AV28" s="163">
        <f>-[54]domredemp!AU16+[54]domredemp!AU124</f>
        <v>0</v>
      </c>
      <c r="AW28" s="150"/>
      <c r="AY28" s="156"/>
      <c r="AZ28" s="156"/>
      <c r="BA28" s="163">
        <f>-[54]domredemp!AZ16+[54]domredemp!AZ124</f>
        <v>0</v>
      </c>
      <c r="BB28" s="150"/>
      <c r="BD28" s="156"/>
      <c r="BE28" s="156"/>
      <c r="BF28" s="163">
        <f>-[54]domredemp!BE16+[54]domredemp!BE124</f>
        <v>0</v>
      </c>
      <c r="BG28" s="150"/>
      <c r="BI28" s="156"/>
      <c r="BJ28" s="156"/>
      <c r="BK28" s="163">
        <f>-[54]domredemp!BJ16+[54]domredemp!BJ124</f>
        <v>0</v>
      </c>
      <c r="BL28" s="150"/>
      <c r="BN28" s="156"/>
      <c r="BO28" s="156"/>
      <c r="BP28" s="163">
        <f>-[54]domredemp!BO16+[54]domredemp!BO124</f>
        <v>0</v>
      </c>
      <c r="BQ28" s="150"/>
      <c r="BS28" s="156"/>
      <c r="BT28" s="156"/>
      <c r="BU28" s="163">
        <f>-[54]domredemp!BT16+[54]domredemp!BT124</f>
        <v>0</v>
      </c>
      <c r="BV28" s="150"/>
      <c r="BX28" s="9"/>
      <c r="CA28" s="10"/>
      <c r="CB28" s="10" t="e">
        <f>#REF!-#REF!</f>
        <v>#REF!</v>
      </c>
    </row>
    <row r="29" spans="3:80" x14ac:dyDescent="0.2">
      <c r="C29" s="9"/>
      <c r="E29" s="329"/>
      <c r="F29" s="330"/>
      <c r="G29" s="330"/>
      <c r="I29" s="150"/>
      <c r="K29" s="156"/>
      <c r="L29" s="156"/>
      <c r="N29" s="150"/>
      <c r="P29" s="156"/>
      <c r="Q29" s="156"/>
      <c r="R29" s="86"/>
      <c r="S29" s="150"/>
      <c r="U29" s="156"/>
      <c r="V29" s="156"/>
      <c r="W29" s="86"/>
      <c r="X29" s="150"/>
      <c r="Z29" s="156"/>
      <c r="AA29" s="156"/>
      <c r="AB29" s="86"/>
      <c r="AC29" s="150"/>
      <c r="AE29" s="156"/>
      <c r="AF29" s="156"/>
      <c r="AG29" s="86"/>
      <c r="AH29" s="150"/>
      <c r="AJ29" s="156"/>
      <c r="AK29" s="156"/>
      <c r="AM29" s="150"/>
      <c r="AO29" s="156"/>
      <c r="AP29" s="156"/>
      <c r="AR29" s="150"/>
      <c r="AT29" s="156"/>
      <c r="AU29" s="156"/>
      <c r="AW29" s="150"/>
      <c r="AY29" s="156"/>
      <c r="AZ29" s="156"/>
      <c r="BB29" s="150"/>
      <c r="BD29" s="156"/>
      <c r="BE29" s="156"/>
      <c r="BG29" s="150"/>
      <c r="BI29" s="156"/>
      <c r="BJ29" s="156"/>
      <c r="BL29" s="150"/>
      <c r="BN29" s="156"/>
      <c r="BO29" s="156"/>
      <c r="BQ29" s="150"/>
      <c r="BS29" s="156"/>
      <c r="BT29" s="156"/>
      <c r="BV29" s="150"/>
      <c r="BX29" s="9"/>
      <c r="CA29" s="10"/>
      <c r="CB29" s="10" t="e">
        <f>#REF!-#REF!</f>
        <v>#REF!</v>
      </c>
    </row>
    <row r="30" spans="3:80" x14ac:dyDescent="0.2">
      <c r="C30" s="9" t="s">
        <v>307</v>
      </c>
      <c r="E30" s="329"/>
      <c r="F30" s="330"/>
      <c r="G30" s="330"/>
      <c r="H30" s="1">
        <f>SUM(H31:H33)</f>
        <v>0</v>
      </c>
      <c r="I30" s="150"/>
      <c r="K30" s="156"/>
      <c r="L30" s="156"/>
      <c r="M30" s="1">
        <f>SUM(M31:M33)</f>
        <v>0</v>
      </c>
      <c r="N30" s="150"/>
      <c r="P30" s="156"/>
      <c r="Q30" s="156"/>
      <c r="R30" s="1">
        <f>SUM(R31:R33)</f>
        <v>0</v>
      </c>
      <c r="S30" s="150"/>
      <c r="U30" s="156"/>
      <c r="V30" s="156"/>
      <c r="W30" s="1">
        <f>SUM(W31:W33)</f>
        <v>0</v>
      </c>
      <c r="X30" s="150"/>
      <c r="Z30" s="156"/>
      <c r="AA30" s="156"/>
      <c r="AB30" s="1">
        <f>SUM(AB31:AB33)</f>
        <v>0</v>
      </c>
      <c r="AC30" s="150"/>
      <c r="AE30" s="156"/>
      <c r="AF30" s="156"/>
      <c r="AG30" s="1">
        <f>SUM(AG31:AG33)</f>
        <v>0</v>
      </c>
      <c r="AH30" s="150"/>
      <c r="AJ30" s="156"/>
      <c r="AK30" s="156"/>
      <c r="AL30" s="1">
        <f>SUM(AL31:AL33)</f>
        <v>0</v>
      </c>
      <c r="AM30" s="150"/>
      <c r="AO30" s="156"/>
      <c r="AP30" s="156"/>
      <c r="AQ30" s="1">
        <f>SUM(AQ31:AQ33)</f>
        <v>0</v>
      </c>
      <c r="AR30" s="150"/>
      <c r="AT30" s="156"/>
      <c r="AU30" s="156"/>
      <c r="AV30" s="1">
        <f>SUM(AV31:AV33)</f>
        <v>0</v>
      </c>
      <c r="AW30" s="150"/>
      <c r="AY30" s="156"/>
      <c r="AZ30" s="156"/>
      <c r="BA30" s="1">
        <f>SUM(BA31:BA33)</f>
        <v>0</v>
      </c>
      <c r="BB30" s="150"/>
      <c r="BD30" s="156"/>
      <c r="BE30" s="156"/>
      <c r="BF30" s="1">
        <f>SUM(BF31:BF33)</f>
        <v>0</v>
      </c>
      <c r="BG30" s="150"/>
      <c r="BI30" s="156"/>
      <c r="BJ30" s="156"/>
      <c r="BK30" s="1">
        <f>SUM(BK31:BK33)</f>
        <v>0</v>
      </c>
      <c r="BL30" s="150"/>
      <c r="BN30" s="156"/>
      <c r="BO30" s="156"/>
      <c r="BP30" s="1">
        <f>SUM(BP31:BP33)</f>
        <v>0</v>
      </c>
      <c r="BQ30" s="150"/>
      <c r="BS30" s="156"/>
      <c r="BT30" s="156"/>
      <c r="BU30" s="1">
        <f>SUM(BU31:BU33)</f>
        <v>0</v>
      </c>
      <c r="BV30" s="150"/>
      <c r="BX30" s="9"/>
      <c r="CA30" s="10"/>
      <c r="CB30" s="10" t="e">
        <f>#REF!-#REF!</f>
        <v>#REF!</v>
      </c>
    </row>
    <row r="31" spans="3:80" x14ac:dyDescent="0.2">
      <c r="C31" s="9" t="s">
        <v>308</v>
      </c>
      <c r="E31" s="327" t="s">
        <v>302</v>
      </c>
      <c r="F31" s="328"/>
      <c r="G31" s="328"/>
      <c r="H31" s="315">
        <f>[54]domlongtermissues!G14</f>
        <v>0</v>
      </c>
      <c r="I31" s="150"/>
      <c r="K31" s="156"/>
      <c r="L31" s="156"/>
      <c r="M31" s="315">
        <f>[54]domlongtermissues!L14</f>
        <v>0</v>
      </c>
      <c r="N31" s="150"/>
      <c r="P31" s="156"/>
      <c r="Q31" s="156"/>
      <c r="R31" s="315">
        <f>[54]domlongtermissues!Q14</f>
        <v>0</v>
      </c>
      <c r="S31" s="150"/>
      <c r="U31" s="156"/>
      <c r="V31" s="156"/>
      <c r="W31" s="315">
        <f>[54]domlongtermissues!V14</f>
        <v>0</v>
      </c>
      <c r="X31" s="150"/>
      <c r="Z31" s="156"/>
      <c r="AA31" s="156"/>
      <c r="AB31" s="315">
        <f>[54]domlongtermissues!AA14</f>
        <v>0</v>
      </c>
      <c r="AC31" s="150"/>
      <c r="AE31" s="156"/>
      <c r="AF31" s="156"/>
      <c r="AG31" s="315">
        <f>[54]domlongtermissues!AF14</f>
        <v>0</v>
      </c>
      <c r="AH31" s="150"/>
      <c r="AJ31" s="156"/>
      <c r="AK31" s="156"/>
      <c r="AL31" s="315">
        <f>[54]domlongtermissues!AK14</f>
        <v>0</v>
      </c>
      <c r="AM31" s="150"/>
      <c r="AO31" s="156"/>
      <c r="AP31" s="156"/>
      <c r="AQ31" s="315">
        <f>[54]domlongtermissues!AP14</f>
        <v>0</v>
      </c>
      <c r="AR31" s="150"/>
      <c r="AT31" s="156"/>
      <c r="AU31" s="156"/>
      <c r="AV31" s="315">
        <f>[54]domlongtermissues!AU14</f>
        <v>0</v>
      </c>
      <c r="AW31" s="150"/>
      <c r="AY31" s="156"/>
      <c r="AZ31" s="156"/>
      <c r="BA31" s="315">
        <f>[54]domlongtermissues!AZ14</f>
        <v>0</v>
      </c>
      <c r="BB31" s="150"/>
      <c r="BD31" s="156"/>
      <c r="BE31" s="156"/>
      <c r="BF31" s="315">
        <f>[54]domlongtermissues!BE14</f>
        <v>0</v>
      </c>
      <c r="BG31" s="150"/>
      <c r="BI31" s="156"/>
      <c r="BJ31" s="156"/>
      <c r="BK31" s="315">
        <f>[54]domlongtermissues!BJ14</f>
        <v>0</v>
      </c>
      <c r="BL31" s="150"/>
      <c r="BN31" s="156"/>
      <c r="BO31" s="156"/>
      <c r="BP31" s="315">
        <f>[54]domlongtermissues!BO14</f>
        <v>0</v>
      </c>
      <c r="BQ31" s="150"/>
      <c r="BS31" s="156"/>
      <c r="BT31" s="156"/>
      <c r="BU31" s="315">
        <f>[54]domlongtermissues!BT14</f>
        <v>0</v>
      </c>
      <c r="BV31" s="150"/>
      <c r="BX31" s="9"/>
      <c r="CA31" s="10"/>
      <c r="CB31" s="10" t="e">
        <f>#REF!-#REF!</f>
        <v>#REF!</v>
      </c>
    </row>
    <row r="32" spans="3:80" x14ac:dyDescent="0.2">
      <c r="C32" s="9" t="s">
        <v>309</v>
      </c>
      <c r="E32" s="327" t="s">
        <v>302</v>
      </c>
      <c r="F32" s="328"/>
      <c r="G32" s="328"/>
      <c r="H32" s="102">
        <f>-[54]domlongtermissues!G217</f>
        <v>0</v>
      </c>
      <c r="I32" s="150"/>
      <c r="K32" s="156"/>
      <c r="L32" s="156"/>
      <c r="M32" s="102">
        <f>-[54]domlongtermissues!L217</f>
        <v>0</v>
      </c>
      <c r="N32" s="150"/>
      <c r="P32" s="156"/>
      <c r="Q32" s="156"/>
      <c r="R32" s="102">
        <f>-[54]domlongtermissues!Q217</f>
        <v>0</v>
      </c>
      <c r="S32" s="150"/>
      <c r="U32" s="156"/>
      <c r="V32" s="156"/>
      <c r="W32" s="102">
        <f>-[54]domlongtermissues!V217</f>
        <v>0</v>
      </c>
      <c r="X32" s="150"/>
      <c r="Z32" s="156"/>
      <c r="AA32" s="156"/>
      <c r="AB32" s="102">
        <f>-[54]domlongtermissues!AA217</f>
        <v>0</v>
      </c>
      <c r="AC32" s="150"/>
      <c r="AE32" s="156"/>
      <c r="AF32" s="156"/>
      <c r="AG32" s="102">
        <f>-[54]domlongtermissues!AF217</f>
        <v>0</v>
      </c>
      <c r="AH32" s="150"/>
      <c r="AJ32" s="156"/>
      <c r="AK32" s="156"/>
      <c r="AL32" s="102">
        <f>-[54]domlongtermissues!AK217</f>
        <v>0</v>
      </c>
      <c r="AM32" s="150"/>
      <c r="AO32" s="156"/>
      <c r="AP32" s="156"/>
      <c r="AQ32" s="102">
        <f>-[54]domlongtermissues!AP217</f>
        <v>0</v>
      </c>
      <c r="AR32" s="150"/>
      <c r="AT32" s="156"/>
      <c r="AU32" s="156"/>
      <c r="AV32" s="102">
        <f>-[54]domlongtermissues!AU217</f>
        <v>0</v>
      </c>
      <c r="AW32" s="150"/>
      <c r="AY32" s="156"/>
      <c r="AZ32" s="156"/>
      <c r="BA32" s="102">
        <f>-[54]domlongtermissues!AZ217</f>
        <v>0</v>
      </c>
      <c r="BB32" s="150"/>
      <c r="BD32" s="156"/>
      <c r="BE32" s="156"/>
      <c r="BF32" s="102">
        <f>-[54]domlongtermissues!BE217</f>
        <v>0</v>
      </c>
      <c r="BG32" s="150"/>
      <c r="BI32" s="156"/>
      <c r="BJ32" s="156"/>
      <c r="BK32" s="102">
        <f>-[54]domlongtermissues!BJ217</f>
        <v>0</v>
      </c>
      <c r="BL32" s="150"/>
      <c r="BN32" s="156"/>
      <c r="BO32" s="156"/>
      <c r="BP32" s="102">
        <f>-[54]domlongtermissues!BO217</f>
        <v>0</v>
      </c>
      <c r="BQ32" s="150"/>
      <c r="BS32" s="156"/>
      <c r="BT32" s="156"/>
      <c r="BU32" s="102">
        <f>-[54]domlongtermissues!BT217</f>
        <v>0</v>
      </c>
      <c r="BV32" s="150"/>
      <c r="BX32" s="9"/>
      <c r="CA32" s="10"/>
      <c r="CB32" s="10" t="e">
        <f>#REF!-#REF!</f>
        <v>#REF!</v>
      </c>
    </row>
    <row r="33" spans="3:80" x14ac:dyDescent="0.2">
      <c r="C33" s="9" t="s">
        <v>310</v>
      </c>
      <c r="E33" s="327" t="s">
        <v>305</v>
      </c>
      <c r="F33" s="328"/>
      <c r="G33" s="328"/>
      <c r="H33" s="163">
        <f>-[54]domredemp!G14+[54]domredemp!G32</f>
        <v>0</v>
      </c>
      <c r="I33" s="150"/>
      <c r="K33" s="156"/>
      <c r="L33" s="156"/>
      <c r="M33" s="163">
        <f>-[54]domredemp!L14+[54]domredemp!L32</f>
        <v>0</v>
      </c>
      <c r="N33" s="150"/>
      <c r="P33" s="156"/>
      <c r="Q33" s="156"/>
      <c r="R33" s="163">
        <f>-[54]domredemp!Q14+[54]domredemp!Q32</f>
        <v>0</v>
      </c>
      <c r="S33" s="150"/>
      <c r="U33" s="156"/>
      <c r="V33" s="156"/>
      <c r="W33" s="163">
        <f>-[54]domredemp!V14+[54]domredemp!V32</f>
        <v>0</v>
      </c>
      <c r="X33" s="150"/>
      <c r="Z33" s="156"/>
      <c r="AA33" s="156"/>
      <c r="AB33" s="163">
        <f>-[54]domredemp!AA14+[54]domredemp!AA32</f>
        <v>0</v>
      </c>
      <c r="AC33" s="150"/>
      <c r="AE33" s="156"/>
      <c r="AF33" s="156"/>
      <c r="AG33" s="163">
        <f>-[54]domredemp!AF14+[54]domredemp!AF32</f>
        <v>0</v>
      </c>
      <c r="AH33" s="150"/>
      <c r="AJ33" s="156"/>
      <c r="AK33" s="156"/>
      <c r="AL33" s="163">
        <f>-[54]domredemp!AK14+[54]domredemp!AK32</f>
        <v>0</v>
      </c>
      <c r="AM33" s="150"/>
      <c r="AO33" s="156"/>
      <c r="AP33" s="156"/>
      <c r="AQ33" s="163">
        <f>-[54]domredemp!AP14+[54]domredemp!AP32</f>
        <v>0</v>
      </c>
      <c r="AR33" s="150"/>
      <c r="AT33" s="156"/>
      <c r="AU33" s="156"/>
      <c r="AV33" s="163">
        <f>-[54]domredemp!AU14+[54]domredemp!AU32</f>
        <v>0</v>
      </c>
      <c r="AW33" s="150"/>
      <c r="AY33" s="156"/>
      <c r="AZ33" s="156"/>
      <c r="BA33" s="163">
        <f>-[54]domredemp!AZ14+[54]domredemp!AZ32</f>
        <v>0</v>
      </c>
      <c r="BB33" s="150"/>
      <c r="BD33" s="156"/>
      <c r="BE33" s="156"/>
      <c r="BF33" s="163">
        <f>-[54]domredemp!BE14+[54]domredemp!BE32</f>
        <v>0</v>
      </c>
      <c r="BG33" s="150"/>
      <c r="BI33" s="156"/>
      <c r="BJ33" s="156"/>
      <c r="BK33" s="163">
        <f>-[54]domredemp!BJ14+[54]domredemp!BJ32</f>
        <v>0</v>
      </c>
      <c r="BL33" s="150"/>
      <c r="BN33" s="156"/>
      <c r="BO33" s="156"/>
      <c r="BP33" s="163">
        <f>-[54]domredemp!BO14+[54]domredemp!BO32</f>
        <v>0</v>
      </c>
      <c r="BQ33" s="150"/>
      <c r="BS33" s="156"/>
      <c r="BT33" s="156"/>
      <c r="BU33" s="163">
        <f>-[54]domredemp!BT14+[54]domredemp!BT32</f>
        <v>0</v>
      </c>
      <c r="BV33" s="150"/>
      <c r="BX33" s="9"/>
      <c r="CA33" s="10"/>
      <c r="CB33" s="10" t="e">
        <f>#REF!-#REF!</f>
        <v>#REF!</v>
      </c>
    </row>
    <row r="34" spans="3:80" x14ac:dyDescent="0.2">
      <c r="C34" s="9"/>
      <c r="E34" s="327"/>
      <c r="F34" s="328"/>
      <c r="G34" s="328"/>
      <c r="I34" s="150"/>
      <c r="K34" s="156"/>
      <c r="L34" s="156"/>
      <c r="N34" s="150"/>
      <c r="P34" s="156"/>
      <c r="Q34" s="156"/>
      <c r="S34" s="150"/>
      <c r="U34" s="156"/>
      <c r="V34" s="156"/>
      <c r="X34" s="150"/>
      <c r="Z34" s="156"/>
      <c r="AA34" s="156"/>
      <c r="AC34" s="150"/>
      <c r="AE34" s="156"/>
      <c r="AF34" s="156"/>
      <c r="AH34" s="150"/>
      <c r="AJ34" s="156"/>
      <c r="AK34" s="156"/>
      <c r="AM34" s="150"/>
      <c r="AO34" s="156"/>
      <c r="AP34" s="156"/>
      <c r="AR34" s="150"/>
      <c r="AT34" s="156"/>
      <c r="AU34" s="156"/>
      <c r="AW34" s="150"/>
      <c r="AY34" s="156"/>
      <c r="AZ34" s="156"/>
      <c r="BB34" s="150"/>
      <c r="BD34" s="156"/>
      <c r="BE34" s="156"/>
      <c r="BG34" s="150"/>
      <c r="BI34" s="156"/>
      <c r="BJ34" s="156"/>
      <c r="BL34" s="150"/>
      <c r="BN34" s="156"/>
      <c r="BO34" s="156"/>
      <c r="BQ34" s="150"/>
      <c r="BS34" s="156"/>
      <c r="BT34" s="156"/>
      <c r="BV34" s="150"/>
      <c r="BX34" s="9"/>
      <c r="CA34" s="10"/>
      <c r="CB34" s="10" t="e">
        <f>#REF!-#REF!</f>
        <v>#REF!</v>
      </c>
    </row>
    <row r="35" spans="3:80" x14ac:dyDescent="0.2">
      <c r="C35" s="9" t="s">
        <v>311</v>
      </c>
      <c r="E35" s="329"/>
      <c r="F35" s="330"/>
      <c r="G35" s="330"/>
      <c r="H35" s="1">
        <f>SUM(H36:H37)</f>
        <v>0</v>
      </c>
      <c r="I35" s="150"/>
      <c r="K35" s="156"/>
      <c r="L35" s="156"/>
      <c r="M35" s="1">
        <f>SUM(M36:M37)</f>
        <v>0</v>
      </c>
      <c r="N35" s="150"/>
      <c r="P35" s="156"/>
      <c r="Q35" s="156"/>
      <c r="R35" s="1">
        <f>SUM(R36:R37)</f>
        <v>0</v>
      </c>
      <c r="S35" s="150"/>
      <c r="U35" s="156"/>
      <c r="V35" s="156"/>
      <c r="W35" s="1">
        <f>SUM(W36:W37)</f>
        <v>0</v>
      </c>
      <c r="X35" s="150"/>
      <c r="Z35" s="156"/>
      <c r="AA35" s="156"/>
      <c r="AB35" s="1">
        <f>SUM(AB36:AB37)</f>
        <v>0</v>
      </c>
      <c r="AC35" s="150"/>
      <c r="AE35" s="156"/>
      <c r="AF35" s="156"/>
      <c r="AG35" s="1">
        <f>SUM(AG36:AG37)</f>
        <v>0</v>
      </c>
      <c r="AH35" s="150"/>
      <c r="AJ35" s="156"/>
      <c r="AK35" s="156"/>
      <c r="AL35" s="1">
        <f>SUM(AL36:AL37)</f>
        <v>0</v>
      </c>
      <c r="AM35" s="150"/>
      <c r="AO35" s="156"/>
      <c r="AP35" s="156"/>
      <c r="AQ35" s="1">
        <f>SUM(AQ36:AQ37)</f>
        <v>0</v>
      </c>
      <c r="AR35" s="150"/>
      <c r="AT35" s="156"/>
      <c r="AU35" s="156"/>
      <c r="AV35" s="1">
        <f>SUM(AV36:AV37)</f>
        <v>85877</v>
      </c>
      <c r="AW35" s="150"/>
      <c r="AY35" s="156"/>
      <c r="AZ35" s="156"/>
      <c r="BA35" s="1">
        <f>SUM(BA36:BA37)</f>
        <v>-85877</v>
      </c>
      <c r="BB35" s="150"/>
      <c r="BD35" s="156"/>
      <c r="BE35" s="156"/>
      <c r="BF35" s="1">
        <f>SUM(BF36:BF37)</f>
        <v>0</v>
      </c>
      <c r="BG35" s="150"/>
      <c r="BI35" s="156"/>
      <c r="BJ35" s="156"/>
      <c r="BK35" s="1">
        <f>SUM(BK36:BK37)</f>
        <v>0</v>
      </c>
      <c r="BL35" s="150"/>
      <c r="BN35" s="156"/>
      <c r="BO35" s="156"/>
      <c r="BP35" s="1">
        <f>SUM(BP36:BP37)</f>
        <v>0</v>
      </c>
      <c r="BQ35" s="150"/>
      <c r="BS35" s="156"/>
      <c r="BT35" s="156"/>
      <c r="BU35" s="1">
        <f>SUM(BU36:BU37)</f>
        <v>0</v>
      </c>
      <c r="BV35" s="150"/>
      <c r="BX35" s="9"/>
      <c r="CA35" s="10"/>
      <c r="CB35" s="10" t="e">
        <f>#REF!-#REF!</f>
        <v>#REF!</v>
      </c>
    </row>
    <row r="36" spans="3:80" x14ac:dyDescent="0.2">
      <c r="C36" s="9" t="s">
        <v>312</v>
      </c>
      <c r="E36" s="327" t="s">
        <v>302</v>
      </c>
      <c r="F36" s="328"/>
      <c r="G36" s="328"/>
      <c r="H36" s="315">
        <f>[54]domlongtermissues!G15</f>
        <v>0</v>
      </c>
      <c r="I36" s="150"/>
      <c r="K36" s="156"/>
      <c r="L36" s="156"/>
      <c r="M36" s="315">
        <f>[54]domlongtermissues!L15</f>
        <v>487336</v>
      </c>
      <c r="N36" s="150"/>
      <c r="P36" s="156"/>
      <c r="Q36" s="156"/>
      <c r="R36" s="315">
        <f>[54]domlongtermissues!Q15</f>
        <v>29682</v>
      </c>
      <c r="S36" s="150"/>
      <c r="U36" s="156"/>
      <c r="V36" s="156"/>
      <c r="W36" s="315">
        <f>[54]domlongtermissues!V15</f>
        <v>28489</v>
      </c>
      <c r="X36" s="150"/>
      <c r="Z36" s="156"/>
      <c r="AA36" s="156"/>
      <c r="AB36" s="315">
        <f>[54]domlongtermissues!AA15</f>
        <v>0</v>
      </c>
      <c r="AC36" s="150"/>
      <c r="AE36" s="156"/>
      <c r="AF36" s="156"/>
      <c r="AG36" s="315">
        <f>[54]domlongtermissues!AF15</f>
        <v>41191</v>
      </c>
      <c r="AH36" s="150"/>
      <c r="AJ36" s="156"/>
      <c r="AK36" s="156"/>
      <c r="AL36" s="315">
        <f>[54]domlongtermissues!AK15</f>
        <v>18552</v>
      </c>
      <c r="AM36" s="150"/>
      <c r="AO36" s="156"/>
      <c r="AP36" s="156"/>
      <c r="AQ36" s="315">
        <f>[54]domlongtermissues!AP15</f>
        <v>0</v>
      </c>
      <c r="AR36" s="150"/>
      <c r="AT36" s="156"/>
      <c r="AU36" s="156"/>
      <c r="AV36" s="315">
        <f>[54]domlongtermissues!AU15</f>
        <v>85877</v>
      </c>
      <c r="AW36" s="150"/>
      <c r="AY36" s="156"/>
      <c r="AZ36" s="156"/>
      <c r="BA36" s="315">
        <f>[54]domlongtermissues!AZ15</f>
        <v>204461</v>
      </c>
      <c r="BB36" s="150"/>
      <c r="BD36" s="156"/>
      <c r="BE36" s="156"/>
      <c r="BF36" s="315">
        <f>[54]domlongtermissues!BE15</f>
        <v>132680</v>
      </c>
      <c r="BG36" s="150"/>
      <c r="BI36" s="156"/>
      <c r="BJ36" s="156"/>
      <c r="BK36" s="315">
        <f>[54]domlongtermissues!BJ15</f>
        <v>0</v>
      </c>
      <c r="BL36" s="150"/>
      <c r="BN36" s="156"/>
      <c r="BO36" s="156"/>
      <c r="BP36" s="315">
        <f>[54]domlongtermissues!BO15</f>
        <v>0</v>
      </c>
      <c r="BQ36" s="150"/>
      <c r="BS36" s="156"/>
      <c r="BT36" s="156"/>
      <c r="BU36" s="315">
        <f>[54]domlongtermissues!BT15</f>
        <v>1028268</v>
      </c>
      <c r="BV36" s="150"/>
      <c r="BX36" s="9"/>
      <c r="CA36" s="10"/>
      <c r="CB36" s="10" t="e">
        <f>#REF!-#REF!</f>
        <v>#REF!</v>
      </c>
    </row>
    <row r="37" spans="3:80" x14ac:dyDescent="0.2">
      <c r="C37" s="9" t="s">
        <v>313</v>
      </c>
      <c r="E37" s="327" t="s">
        <v>305</v>
      </c>
      <c r="F37" s="328"/>
      <c r="G37" s="328"/>
      <c r="H37" s="163">
        <f>-[54]domredemp!G15</f>
        <v>0</v>
      </c>
      <c r="I37" s="150"/>
      <c r="K37" s="156"/>
      <c r="L37" s="156"/>
      <c r="M37" s="163">
        <f>-[54]domredemp!L15</f>
        <v>-487336</v>
      </c>
      <c r="N37" s="150"/>
      <c r="P37" s="156"/>
      <c r="Q37" s="156"/>
      <c r="R37" s="163">
        <f>-[54]domredemp!Q15</f>
        <v>-29682</v>
      </c>
      <c r="S37" s="150"/>
      <c r="U37" s="156"/>
      <c r="V37" s="156"/>
      <c r="W37" s="163">
        <f>-[54]domredemp!V15</f>
        <v>-28489</v>
      </c>
      <c r="X37" s="150"/>
      <c r="Z37" s="156"/>
      <c r="AA37" s="156"/>
      <c r="AB37" s="163">
        <f>-[54]domredemp!AA15</f>
        <v>0</v>
      </c>
      <c r="AC37" s="150"/>
      <c r="AE37" s="156"/>
      <c r="AF37" s="156"/>
      <c r="AG37" s="163">
        <f>-[54]domredemp!AF15</f>
        <v>-41191</v>
      </c>
      <c r="AH37" s="150"/>
      <c r="AJ37" s="156"/>
      <c r="AK37" s="156"/>
      <c r="AL37" s="163">
        <f>-[54]domredemp!AK15</f>
        <v>-18552</v>
      </c>
      <c r="AM37" s="150"/>
      <c r="AO37" s="156"/>
      <c r="AP37" s="156"/>
      <c r="AQ37" s="163">
        <f>-[54]domredemp!AP15</f>
        <v>0</v>
      </c>
      <c r="AR37" s="150"/>
      <c r="AT37" s="156"/>
      <c r="AU37" s="156"/>
      <c r="AV37" s="163">
        <f>-[54]domredemp!AU15</f>
        <v>0</v>
      </c>
      <c r="AW37" s="150"/>
      <c r="AY37" s="156"/>
      <c r="AZ37" s="156"/>
      <c r="BA37" s="163">
        <f>-[54]domredemp!AZ15</f>
        <v>-290338</v>
      </c>
      <c r="BB37" s="150"/>
      <c r="BD37" s="156"/>
      <c r="BE37" s="156"/>
      <c r="BF37" s="163">
        <f>-[54]domredemp!BE15</f>
        <v>-132680</v>
      </c>
      <c r="BG37" s="150"/>
      <c r="BI37" s="156"/>
      <c r="BJ37" s="156"/>
      <c r="BK37" s="163">
        <f>-[54]domredemp!BJ15</f>
        <v>0</v>
      </c>
      <c r="BL37" s="150"/>
      <c r="BN37" s="156"/>
      <c r="BO37" s="156"/>
      <c r="BP37" s="163">
        <f>-[54]domredemp!BO15</f>
        <v>0</v>
      </c>
      <c r="BQ37" s="150"/>
      <c r="BS37" s="156"/>
      <c r="BT37" s="156"/>
      <c r="BU37" s="163">
        <f>-[54]domredemp!BT15</f>
        <v>-1028268</v>
      </c>
      <c r="BV37" s="150"/>
      <c r="BX37" s="9"/>
      <c r="CA37" s="10"/>
      <c r="CB37" s="10" t="e">
        <f>#REF!-#REF!</f>
        <v>#REF!</v>
      </c>
    </row>
    <row r="38" spans="3:80" ht="12.75" hidden="1" customHeight="1" x14ac:dyDescent="0.2">
      <c r="C38" s="9"/>
      <c r="E38" s="327"/>
      <c r="F38" s="328"/>
      <c r="G38" s="328"/>
      <c r="I38" s="150"/>
      <c r="K38" s="156"/>
      <c r="L38" s="156"/>
      <c r="N38" s="150"/>
      <c r="P38" s="156"/>
      <c r="Q38" s="156"/>
      <c r="S38" s="150"/>
      <c r="U38" s="156"/>
      <c r="V38" s="156"/>
      <c r="X38" s="150"/>
      <c r="Z38" s="156"/>
      <c r="AA38" s="156"/>
      <c r="AC38" s="150"/>
      <c r="AE38" s="156"/>
      <c r="AF38" s="156"/>
      <c r="AH38" s="150"/>
      <c r="AJ38" s="156"/>
      <c r="AK38" s="156"/>
      <c r="AM38" s="150"/>
      <c r="AO38" s="156"/>
      <c r="AP38" s="156"/>
      <c r="AR38" s="150"/>
      <c r="AT38" s="156"/>
      <c r="AU38" s="156"/>
      <c r="AW38" s="150"/>
      <c r="AY38" s="156"/>
      <c r="AZ38" s="156"/>
      <c r="BB38" s="150"/>
      <c r="BD38" s="156"/>
      <c r="BE38" s="156"/>
      <c r="BG38" s="150"/>
      <c r="BI38" s="156"/>
      <c r="BJ38" s="156"/>
      <c r="BL38" s="150"/>
      <c r="BN38" s="156"/>
      <c r="BO38" s="156"/>
      <c r="BQ38" s="150"/>
      <c r="BS38" s="156"/>
      <c r="BT38" s="156"/>
      <c r="BV38" s="150"/>
      <c r="BX38" s="9"/>
      <c r="CA38" s="10"/>
      <c r="CB38" s="10" t="e">
        <f>#REF!-#REF!</f>
        <v>#REF!</v>
      </c>
    </row>
    <row r="39" spans="3:80" ht="12.75" hidden="1" customHeight="1" x14ac:dyDescent="0.2">
      <c r="C39" s="9" t="s">
        <v>314</v>
      </c>
      <c r="D39" s="180" t="s">
        <v>57</v>
      </c>
      <c r="E39" s="329"/>
      <c r="F39" s="330"/>
      <c r="G39" s="330"/>
      <c r="H39" s="1">
        <v>0</v>
      </c>
      <c r="I39" s="150"/>
      <c r="K39" s="156"/>
      <c r="L39" s="156"/>
      <c r="M39" s="1">
        <f>SUM(M40:M40)</f>
        <v>0</v>
      </c>
      <c r="N39" s="150"/>
      <c r="P39" s="156"/>
      <c r="Q39" s="156"/>
      <c r="R39" s="1">
        <f>SUM(R40:R40)</f>
        <v>0</v>
      </c>
      <c r="S39" s="150"/>
      <c r="U39" s="156"/>
      <c r="V39" s="156"/>
      <c r="W39" s="1">
        <f>SUM(W40:W40)</f>
        <v>0</v>
      </c>
      <c r="X39" s="150"/>
      <c r="Z39" s="156"/>
      <c r="AA39" s="156"/>
      <c r="AB39" s="1">
        <f>SUM(AB40:AB40)</f>
        <v>0</v>
      </c>
      <c r="AC39" s="150"/>
      <c r="AE39" s="156"/>
      <c r="AF39" s="156"/>
      <c r="AG39" s="1">
        <f>SUM(AG40:AG40)</f>
        <v>0</v>
      </c>
      <c r="AH39" s="150"/>
      <c r="AJ39" s="156"/>
      <c r="AK39" s="156"/>
      <c r="AL39" s="1">
        <f>SUM(AL40:AL40)</f>
        <v>0</v>
      </c>
      <c r="AM39" s="150"/>
      <c r="AO39" s="156"/>
      <c r="AP39" s="156"/>
      <c r="AQ39" s="1">
        <f>SUM(AQ40:AQ40)</f>
        <v>0</v>
      </c>
      <c r="AR39" s="150"/>
      <c r="AT39" s="156"/>
      <c r="AU39" s="156"/>
      <c r="AV39" s="1">
        <f>SUM(AV40:AV40)</f>
        <v>0</v>
      </c>
      <c r="AW39" s="150"/>
      <c r="AY39" s="156"/>
      <c r="AZ39" s="156"/>
      <c r="BA39" s="1">
        <f>SUM(BA40:BA40)</f>
        <v>0</v>
      </c>
      <c r="BB39" s="150"/>
      <c r="BD39" s="156"/>
      <c r="BE39" s="156"/>
      <c r="BF39" s="1">
        <f>SUM(BF40:BF40)</f>
        <v>0</v>
      </c>
      <c r="BG39" s="150"/>
      <c r="BI39" s="156"/>
      <c r="BJ39" s="156"/>
      <c r="BK39" s="1">
        <f>SUM(BK40:BK40)</f>
        <v>0</v>
      </c>
      <c r="BL39" s="150"/>
      <c r="BN39" s="156"/>
      <c r="BO39" s="156"/>
      <c r="BP39" s="1">
        <f>SUM(BP40:BP40)</f>
        <v>0</v>
      </c>
      <c r="BQ39" s="150"/>
      <c r="BS39" s="156"/>
      <c r="BT39" s="156"/>
      <c r="BU39" s="1">
        <f>SUM(BU40:BU40)</f>
        <v>0</v>
      </c>
      <c r="BV39" s="150"/>
      <c r="BX39" s="9"/>
      <c r="CA39" s="10"/>
      <c r="CB39" s="10" t="e">
        <f>#REF!-#REF!</f>
        <v>#REF!</v>
      </c>
    </row>
    <row r="40" spans="3:80" ht="12.75" hidden="1" customHeight="1" x14ac:dyDescent="0.2">
      <c r="C40" s="9" t="s">
        <v>308</v>
      </c>
      <c r="E40" s="327" t="s">
        <v>302</v>
      </c>
      <c r="F40" s="328"/>
      <c r="G40" s="328"/>
      <c r="H40" s="331">
        <v>0</v>
      </c>
      <c r="I40" s="150"/>
      <c r="K40" s="156"/>
      <c r="L40" s="156"/>
      <c r="M40" s="331">
        <f>[54]domlongtermissues!L16</f>
        <v>0</v>
      </c>
      <c r="N40" s="150"/>
      <c r="P40" s="156"/>
      <c r="Q40" s="156"/>
      <c r="R40" s="331">
        <f>[54]domlongtermissues!Q16</f>
        <v>0</v>
      </c>
      <c r="S40" s="150"/>
      <c r="U40" s="156"/>
      <c r="V40" s="156"/>
      <c r="W40" s="331">
        <f>[54]domlongtermissues!V16</f>
        <v>0</v>
      </c>
      <c r="X40" s="150"/>
      <c r="Z40" s="156"/>
      <c r="AA40" s="156"/>
      <c r="AB40" s="331">
        <f>[54]domlongtermissues!AA16</f>
        <v>0</v>
      </c>
      <c r="AC40" s="150"/>
      <c r="AE40" s="156"/>
      <c r="AF40" s="156"/>
      <c r="AG40" s="331">
        <f>[54]domlongtermissues!AF16</f>
        <v>0</v>
      </c>
      <c r="AH40" s="150"/>
      <c r="AJ40" s="156"/>
      <c r="AK40" s="156"/>
      <c r="AL40" s="331">
        <f>[54]domlongtermissues!AK16</f>
        <v>0</v>
      </c>
      <c r="AM40" s="150"/>
      <c r="AO40" s="156"/>
      <c r="AP40" s="156"/>
      <c r="AQ40" s="331">
        <f>[54]domlongtermissues!AP16</f>
        <v>0</v>
      </c>
      <c r="AR40" s="150"/>
      <c r="AT40" s="156"/>
      <c r="AU40" s="156"/>
      <c r="AV40" s="331">
        <f>[54]domlongtermissues!AU16</f>
        <v>0</v>
      </c>
      <c r="AW40" s="150"/>
      <c r="AY40" s="156"/>
      <c r="AZ40" s="156"/>
      <c r="BA40" s="331">
        <f>[54]domlongtermissues!AZ16</f>
        <v>0</v>
      </c>
      <c r="BB40" s="150"/>
      <c r="BD40" s="156"/>
      <c r="BE40" s="156"/>
      <c r="BF40" s="331">
        <f>[54]domlongtermissues!BE16</f>
        <v>0</v>
      </c>
      <c r="BG40" s="150"/>
      <c r="BI40" s="156"/>
      <c r="BJ40" s="156"/>
      <c r="BK40" s="331">
        <f>[54]domlongtermissues!BJ16</f>
        <v>0</v>
      </c>
      <c r="BL40" s="150"/>
      <c r="BN40" s="156"/>
      <c r="BO40" s="156"/>
      <c r="BP40" s="1">
        <f>[54]domlongtermissues!BO16</f>
        <v>0</v>
      </c>
      <c r="BQ40" s="150"/>
      <c r="BS40" s="156"/>
      <c r="BT40" s="156"/>
      <c r="BU40" s="331">
        <f>[54]domlongtermissues!BT16</f>
        <v>0</v>
      </c>
      <c r="BV40" s="150"/>
      <c r="BX40" s="9"/>
      <c r="CA40" s="10"/>
      <c r="CB40" s="10" t="e">
        <f>#REF!-#REF!</f>
        <v>#REF!</v>
      </c>
    </row>
    <row r="41" spans="3:80" x14ac:dyDescent="0.2">
      <c r="C41" s="9"/>
      <c r="E41" s="329"/>
      <c r="F41" s="330"/>
      <c r="G41" s="332"/>
      <c r="H41" s="158"/>
      <c r="I41" s="162"/>
      <c r="K41" s="156"/>
      <c r="L41" s="320"/>
      <c r="M41" s="158"/>
      <c r="N41" s="162"/>
      <c r="P41" s="156"/>
      <c r="Q41" s="320"/>
      <c r="R41" s="158"/>
      <c r="S41" s="162"/>
      <c r="U41" s="156"/>
      <c r="V41" s="320"/>
      <c r="W41" s="158"/>
      <c r="X41" s="162"/>
      <c r="Z41" s="156"/>
      <c r="AA41" s="320"/>
      <c r="AB41" s="158"/>
      <c r="AC41" s="162"/>
      <c r="AE41" s="156"/>
      <c r="AF41" s="320"/>
      <c r="AG41" s="158"/>
      <c r="AH41" s="162"/>
      <c r="AJ41" s="156"/>
      <c r="AK41" s="320"/>
      <c r="AL41" s="158"/>
      <c r="AM41" s="162"/>
      <c r="AO41" s="156"/>
      <c r="AP41" s="320"/>
      <c r="AQ41" s="158"/>
      <c r="AR41" s="162"/>
      <c r="AT41" s="156"/>
      <c r="AU41" s="320"/>
      <c r="AV41" s="158"/>
      <c r="AW41" s="162"/>
      <c r="AY41" s="156"/>
      <c r="AZ41" s="320"/>
      <c r="BA41" s="158"/>
      <c r="BB41" s="162"/>
      <c r="BD41" s="156"/>
      <c r="BE41" s="320"/>
      <c r="BF41" s="158"/>
      <c r="BG41" s="162"/>
      <c r="BI41" s="156"/>
      <c r="BJ41" s="320"/>
      <c r="BK41" s="158"/>
      <c r="BL41" s="162"/>
      <c r="BN41" s="156"/>
      <c r="BO41" s="320"/>
      <c r="BP41" s="158"/>
      <c r="BQ41" s="162"/>
      <c r="BS41" s="156"/>
      <c r="BT41" s="320"/>
      <c r="BU41" s="158"/>
      <c r="BV41" s="162"/>
      <c r="BX41" s="9"/>
      <c r="CA41" s="10"/>
      <c r="CB41" s="10" t="e">
        <f>#REF!-#REF!</f>
        <v>#REF!</v>
      </c>
    </row>
    <row r="42" spans="3:80" hidden="1" x14ac:dyDescent="0.2">
      <c r="C42" s="9"/>
      <c r="E42" s="329"/>
      <c r="F42" s="330"/>
      <c r="G42" s="333"/>
      <c r="K42" s="156"/>
      <c r="P42" s="156"/>
      <c r="U42" s="156"/>
      <c r="Z42" s="156"/>
      <c r="AE42" s="156"/>
      <c r="AJ42" s="156"/>
      <c r="AO42" s="156"/>
      <c r="AT42" s="156"/>
      <c r="AY42" s="156"/>
      <c r="BD42" s="156"/>
      <c r="BI42" s="156"/>
      <c r="BN42" s="156"/>
      <c r="BS42" s="156"/>
      <c r="BX42" s="9"/>
      <c r="CA42" s="10"/>
      <c r="CB42" s="10" t="e">
        <f>#REF!-#REF!</f>
        <v>#REF!</v>
      </c>
    </row>
    <row r="43" spans="3:80" x14ac:dyDescent="0.2">
      <c r="C43" s="9"/>
      <c r="E43" s="329"/>
      <c r="F43" s="330"/>
      <c r="G43" s="333"/>
      <c r="K43" s="156"/>
      <c r="P43" s="156"/>
      <c r="U43" s="156"/>
      <c r="Z43" s="156"/>
      <c r="AE43" s="156"/>
      <c r="AJ43" s="156"/>
      <c r="AO43" s="156"/>
      <c r="AT43" s="156"/>
      <c r="AY43" s="156"/>
      <c r="BD43" s="156"/>
      <c r="BI43" s="156"/>
      <c r="BN43" s="156"/>
      <c r="BS43" s="156"/>
      <c r="BX43" s="9"/>
      <c r="CA43" s="10"/>
      <c r="CB43" s="10" t="e">
        <f>#REF!-#REF!</f>
        <v>#REF!</v>
      </c>
    </row>
    <row r="44" spans="3:80" s="10" customFormat="1" x14ac:dyDescent="0.2">
      <c r="C44" s="79" t="s">
        <v>315</v>
      </c>
      <c r="E44" s="327" t="s">
        <v>316</v>
      </c>
      <c r="F44" s="328"/>
      <c r="G44" s="334"/>
      <c r="H44" s="10">
        <f>+H45+H52+H59</f>
        <v>106956000</v>
      </c>
      <c r="K44" s="145"/>
      <c r="L44" s="334"/>
      <c r="M44" s="10">
        <f>+M45+M52+M59</f>
        <v>-777665</v>
      </c>
      <c r="P44" s="145"/>
      <c r="Q44" s="334"/>
      <c r="R44" s="10">
        <f>+R45+R52+R59</f>
        <v>-4931986</v>
      </c>
      <c r="U44" s="145"/>
      <c r="V44" s="334"/>
      <c r="W44" s="10">
        <f>+W45+W52+W59</f>
        <v>-8699700</v>
      </c>
      <c r="Z44" s="145"/>
      <c r="AA44" s="334"/>
      <c r="AB44" s="10">
        <f>+AB45+AB52+AB59</f>
        <v>86911584</v>
      </c>
      <c r="AE44" s="145"/>
      <c r="AF44" s="334"/>
      <c r="AG44" s="10">
        <f>+AG45+AG52+AG59</f>
        <v>0</v>
      </c>
      <c r="AJ44" s="145"/>
      <c r="AK44" s="334"/>
      <c r="AL44" s="10">
        <f>+AL45+AL52+AL59</f>
        <v>0</v>
      </c>
      <c r="AO44" s="145"/>
      <c r="AP44" s="334"/>
      <c r="AQ44" s="10">
        <f>+AQ45+AQ52+AQ59</f>
        <v>5008164</v>
      </c>
      <c r="AT44" s="145"/>
      <c r="AU44" s="334"/>
      <c r="AV44" s="10">
        <f>+AV45+AV52+AV59</f>
        <v>-6967</v>
      </c>
      <c r="AY44" s="145"/>
      <c r="AZ44" s="334"/>
      <c r="BA44" s="10">
        <f>+BA45+BA52+BA59</f>
        <v>0</v>
      </c>
      <c r="BD44" s="145"/>
      <c r="BE44" s="334"/>
      <c r="BF44" s="10">
        <f>+BF45+BF52+BF59</f>
        <v>0</v>
      </c>
      <c r="BI44" s="145"/>
      <c r="BJ44" s="334"/>
      <c r="BK44" s="10">
        <f>+BK45+BK52+BK59</f>
        <v>0</v>
      </c>
      <c r="BN44" s="145"/>
      <c r="BO44" s="334"/>
      <c r="BP44" s="10">
        <f>+BP45+BP52+BP59</f>
        <v>0</v>
      </c>
      <c r="BS44" s="145"/>
      <c r="BT44" s="334"/>
      <c r="BU44" s="10">
        <f>+BU45+BU52+BU59</f>
        <v>77503430</v>
      </c>
      <c r="BX44" s="79"/>
      <c r="CB44" s="10" t="e">
        <f>#REF!-#REF!</f>
        <v>#REF!</v>
      </c>
    </row>
    <row r="45" spans="3:80" x14ac:dyDescent="0.2">
      <c r="C45" s="9" t="s">
        <v>300</v>
      </c>
      <c r="E45" s="329"/>
      <c r="F45" s="330"/>
      <c r="G45" s="335"/>
      <c r="H45" s="86">
        <f>SUM(H46:H50)</f>
        <v>106956000</v>
      </c>
      <c r="I45" s="310"/>
      <c r="K45" s="156"/>
      <c r="L45" s="335"/>
      <c r="M45" s="86">
        <f>SUM(M46:M50)</f>
        <v>-777665</v>
      </c>
      <c r="N45" s="310"/>
      <c r="P45" s="156"/>
      <c r="Q45" s="335"/>
      <c r="R45" s="86">
        <f>SUM(R46:R50)</f>
        <v>-4931986</v>
      </c>
      <c r="S45" s="310"/>
      <c r="U45" s="156"/>
      <c r="V45" s="335"/>
      <c r="W45" s="86">
        <f>SUM(W46:W50)</f>
        <v>-8699700</v>
      </c>
      <c r="X45" s="310"/>
      <c r="Z45" s="156"/>
      <c r="AA45" s="335"/>
      <c r="AB45" s="86">
        <f>SUM(AB46:AB50)</f>
        <v>86911584</v>
      </c>
      <c r="AC45" s="310"/>
      <c r="AE45" s="156"/>
      <c r="AF45" s="335"/>
      <c r="AG45" s="86">
        <f>SUM(AG46:AG50)</f>
        <v>0</v>
      </c>
      <c r="AH45" s="310"/>
      <c r="AJ45" s="156"/>
      <c r="AK45" s="335"/>
      <c r="AL45" s="86">
        <f>SUM(AL46:AL50)</f>
        <v>0</v>
      </c>
      <c r="AM45" s="310"/>
      <c r="AO45" s="156"/>
      <c r="AP45" s="335"/>
      <c r="AQ45" s="86">
        <f>SUM(AQ46:AQ50)</f>
        <v>5008164</v>
      </c>
      <c r="AR45" s="310"/>
      <c r="AT45" s="156"/>
      <c r="AU45" s="335"/>
      <c r="AV45" s="86">
        <f>SUM(AV46:AV50)</f>
        <v>-6967</v>
      </c>
      <c r="AW45" s="310"/>
      <c r="AY45" s="156"/>
      <c r="AZ45" s="335"/>
      <c r="BA45" s="86">
        <f>SUM(BA46:BA50)</f>
        <v>0</v>
      </c>
      <c r="BB45" s="310"/>
      <c r="BD45" s="156"/>
      <c r="BE45" s="335"/>
      <c r="BF45" s="86">
        <f>SUM(BF46:BF50)</f>
        <v>0</v>
      </c>
      <c r="BG45" s="310"/>
      <c r="BI45" s="156"/>
      <c r="BJ45" s="335"/>
      <c r="BK45" s="86">
        <f>SUM(BK46:BK50)</f>
        <v>0</v>
      </c>
      <c r="BL45" s="310"/>
      <c r="BN45" s="156"/>
      <c r="BO45" s="335"/>
      <c r="BP45" s="86">
        <f>SUM(BP46:BP50)</f>
        <v>0</v>
      </c>
      <c r="BQ45" s="310"/>
      <c r="BS45" s="156"/>
      <c r="BT45" s="335"/>
      <c r="BU45" s="86">
        <f>SUM(BU46:BU50)</f>
        <v>77503430</v>
      </c>
      <c r="BV45" s="310"/>
      <c r="BX45" s="9"/>
      <c r="CA45" s="10"/>
      <c r="CB45" s="10" t="e">
        <f>#REF!-#REF!</f>
        <v>#REF!</v>
      </c>
    </row>
    <row r="46" spans="3:80" x14ac:dyDescent="0.2">
      <c r="C46" s="9" t="s">
        <v>301</v>
      </c>
      <c r="E46" s="304"/>
      <c r="F46" s="322"/>
      <c r="G46" s="322"/>
      <c r="H46" s="315">
        <f>+[54]foreigndebt!G17</f>
        <v>121373000</v>
      </c>
      <c r="I46" s="150"/>
      <c r="K46" s="156"/>
      <c r="L46" s="322"/>
      <c r="M46" s="315">
        <f>+[54]foreigndebt!L17</f>
        <v>0</v>
      </c>
      <c r="N46" s="150"/>
      <c r="P46" s="156"/>
      <c r="Q46" s="322"/>
      <c r="R46" s="315">
        <f>+[54]foreigndebt!Q17</f>
        <v>0</v>
      </c>
      <c r="S46" s="150"/>
      <c r="U46" s="156"/>
      <c r="V46" s="322"/>
      <c r="W46" s="315">
        <f>+[54]foreigndebt!V17</f>
        <v>0</v>
      </c>
      <c r="X46" s="150"/>
      <c r="Z46" s="156"/>
      <c r="AA46" s="322"/>
      <c r="AB46" s="315">
        <f>+[54]foreigndebt!AA17</f>
        <v>86911584</v>
      </c>
      <c r="AC46" s="150"/>
      <c r="AE46" s="156"/>
      <c r="AF46" s="322"/>
      <c r="AG46" s="315">
        <f>+[54]foreigndebt!AF17</f>
        <v>0</v>
      </c>
      <c r="AH46" s="150"/>
      <c r="AJ46" s="156"/>
      <c r="AK46" s="322"/>
      <c r="AL46" s="315">
        <f>+[54]foreigndebt!AK17</f>
        <v>0</v>
      </c>
      <c r="AM46" s="150"/>
      <c r="AO46" s="156"/>
      <c r="AP46" s="322"/>
      <c r="AQ46" s="315">
        <f>+[54]foreigndebt!AP17</f>
        <v>5008164</v>
      </c>
      <c r="AR46" s="150"/>
      <c r="AT46" s="156"/>
      <c r="AU46" s="322"/>
      <c r="AV46" s="315">
        <f>+[54]foreigndebt!AU17</f>
        <v>0</v>
      </c>
      <c r="AW46" s="150"/>
      <c r="AY46" s="156"/>
      <c r="AZ46" s="322"/>
      <c r="BA46" s="315">
        <f>+[54]foreigndebt!AZ17</f>
        <v>0</v>
      </c>
      <c r="BB46" s="150"/>
      <c r="BD46" s="156"/>
      <c r="BE46" s="322"/>
      <c r="BF46" s="315">
        <f>+[54]foreigndebt!BE17</f>
        <v>0</v>
      </c>
      <c r="BG46" s="150"/>
      <c r="BI46" s="156"/>
      <c r="BJ46" s="322"/>
      <c r="BK46" s="315">
        <f>+[54]foreigndebt!BJ17</f>
        <v>0</v>
      </c>
      <c r="BL46" s="150"/>
      <c r="BN46" s="156"/>
      <c r="BO46" s="322"/>
      <c r="BP46" s="315">
        <f>+[54]foreigndebt!BO17</f>
        <v>0</v>
      </c>
      <c r="BQ46" s="150"/>
      <c r="BS46" s="156"/>
      <c r="BT46" s="322"/>
      <c r="BU46" s="315">
        <f>+[54]foreigndebt!BT17</f>
        <v>91919748</v>
      </c>
      <c r="BV46" s="150"/>
      <c r="BX46" s="9"/>
      <c r="CA46" s="10"/>
      <c r="CB46" s="10" t="e">
        <f>#REF!-#REF!</f>
        <v>#REF!</v>
      </c>
    </row>
    <row r="47" spans="3:80" ht="12.75" hidden="1" customHeight="1" x14ac:dyDescent="0.2">
      <c r="C47" s="9" t="s">
        <v>303</v>
      </c>
      <c r="E47" s="304"/>
      <c r="F47" s="322"/>
      <c r="G47" s="322"/>
      <c r="H47" s="102">
        <f>-[54]foreigndebt!G19</f>
        <v>0</v>
      </c>
      <c r="I47" s="150"/>
      <c r="K47" s="156"/>
      <c r="L47" s="322"/>
      <c r="M47" s="102">
        <f>-[54]foreigndebt!L19</f>
        <v>0</v>
      </c>
      <c r="N47" s="150"/>
      <c r="P47" s="156"/>
      <c r="Q47" s="322"/>
      <c r="R47" s="102">
        <f>-[54]foreigndebt!Q19</f>
        <v>0</v>
      </c>
      <c r="S47" s="150"/>
      <c r="U47" s="156"/>
      <c r="V47" s="322"/>
      <c r="W47" s="102">
        <f>-[54]foreigndebt!V19</f>
        <v>0</v>
      </c>
      <c r="X47" s="150"/>
      <c r="Z47" s="156"/>
      <c r="AA47" s="322"/>
      <c r="AB47" s="102">
        <f>-[54]foreigndebt!AA19</f>
        <v>0</v>
      </c>
      <c r="AC47" s="150"/>
      <c r="AE47" s="156"/>
      <c r="AF47" s="322"/>
      <c r="AG47" s="102">
        <f>-[54]foreigndebt!AF19</f>
        <v>0</v>
      </c>
      <c r="AH47" s="150"/>
      <c r="AJ47" s="156"/>
      <c r="AK47" s="322"/>
      <c r="AL47" s="102">
        <f>-[54]foreigndebt!AK19</f>
        <v>0</v>
      </c>
      <c r="AM47" s="150"/>
      <c r="AO47" s="156"/>
      <c r="AP47" s="322"/>
      <c r="AQ47" s="102">
        <f>-[54]foreigndebt!AP19</f>
        <v>0</v>
      </c>
      <c r="AR47" s="150"/>
      <c r="AT47" s="156"/>
      <c r="AU47" s="322"/>
      <c r="AV47" s="102">
        <f>-[54]foreigndebt!AU19</f>
        <v>0</v>
      </c>
      <c r="AW47" s="150"/>
      <c r="AY47" s="156"/>
      <c r="AZ47" s="322"/>
      <c r="BA47" s="102">
        <f>-[54]foreigndebt!AZ19</f>
        <v>0</v>
      </c>
      <c r="BB47" s="150"/>
      <c r="BD47" s="156"/>
      <c r="BE47" s="322"/>
      <c r="BF47" s="102">
        <f>-[54]foreigndebt!BE19</f>
        <v>0</v>
      </c>
      <c r="BG47" s="150"/>
      <c r="BI47" s="156"/>
      <c r="BJ47" s="322"/>
      <c r="BK47" s="102">
        <f>-[54]foreigndebt!BJ19</f>
        <v>0</v>
      </c>
      <c r="BL47" s="150"/>
      <c r="BN47" s="156"/>
      <c r="BO47" s="322"/>
      <c r="BP47" s="102">
        <f>-[54]foreigndebt!BO19</f>
        <v>0</v>
      </c>
      <c r="BQ47" s="150"/>
      <c r="BS47" s="156"/>
      <c r="BT47" s="322"/>
      <c r="BU47" s="102">
        <f>-[54]foreigndebt!BT19</f>
        <v>0</v>
      </c>
      <c r="BV47" s="150"/>
      <c r="BX47" s="9"/>
      <c r="CA47" s="10"/>
      <c r="CB47" s="10" t="e">
        <f>#REF!-#REF!</f>
        <v>#REF!</v>
      </c>
    </row>
    <row r="48" spans="3:80" x14ac:dyDescent="0.2">
      <c r="C48" s="9" t="s">
        <v>304</v>
      </c>
      <c r="E48" s="304"/>
      <c r="F48" s="322"/>
      <c r="G48" s="322"/>
      <c r="H48" s="102"/>
      <c r="I48" s="150"/>
      <c r="K48" s="156"/>
      <c r="L48" s="322"/>
      <c r="M48" s="102"/>
      <c r="N48" s="150"/>
      <c r="P48" s="156"/>
      <c r="Q48" s="322"/>
      <c r="R48" s="102"/>
      <c r="S48" s="150"/>
      <c r="U48" s="156"/>
      <c r="V48" s="322"/>
      <c r="W48" s="102"/>
      <c r="X48" s="150"/>
      <c r="Z48" s="156"/>
      <c r="AA48" s="322"/>
      <c r="AB48" s="102"/>
      <c r="AC48" s="150"/>
      <c r="AE48" s="156"/>
      <c r="AF48" s="322"/>
      <c r="AG48" s="102"/>
      <c r="AH48" s="150"/>
      <c r="AJ48" s="156"/>
      <c r="AK48" s="322"/>
      <c r="AL48" s="102"/>
      <c r="AM48" s="150"/>
      <c r="AO48" s="156"/>
      <c r="AP48" s="322"/>
      <c r="AQ48" s="102"/>
      <c r="AR48" s="150"/>
      <c r="AT48" s="156"/>
      <c r="AU48" s="322"/>
      <c r="AV48" s="102"/>
      <c r="AW48" s="150"/>
      <c r="AY48" s="156"/>
      <c r="AZ48" s="322"/>
      <c r="BA48" s="102"/>
      <c r="BB48" s="150"/>
      <c r="BD48" s="156"/>
      <c r="BE48" s="322"/>
      <c r="BF48" s="102"/>
      <c r="BG48" s="150"/>
      <c r="BI48" s="156"/>
      <c r="BJ48" s="322"/>
      <c r="BK48" s="102"/>
      <c r="BL48" s="150"/>
      <c r="BN48" s="156"/>
      <c r="BO48" s="322"/>
      <c r="BP48" s="102"/>
      <c r="BQ48" s="150"/>
      <c r="BS48" s="156"/>
      <c r="BT48" s="322"/>
      <c r="BU48" s="102"/>
      <c r="BV48" s="150"/>
      <c r="BX48" s="9"/>
      <c r="CA48" s="10"/>
      <c r="CB48" s="10" t="e">
        <f>#REF!-#REF!</f>
        <v>#REF!</v>
      </c>
    </row>
    <row r="49" spans="3:80" x14ac:dyDescent="0.2">
      <c r="C49" s="148" t="s">
        <v>317</v>
      </c>
      <c r="E49" s="304"/>
      <c r="F49" s="322"/>
      <c r="G49" s="322"/>
      <c r="H49" s="102">
        <f>-[54]foreigndebt!G108</f>
        <v>-7961000</v>
      </c>
      <c r="I49" s="150"/>
      <c r="K49" s="156"/>
      <c r="L49" s="322"/>
      <c r="M49" s="102">
        <f>-[54]foreigndebt!L108</f>
        <v>-391647</v>
      </c>
      <c r="N49" s="150"/>
      <c r="P49" s="156"/>
      <c r="Q49" s="322"/>
      <c r="R49" s="102">
        <f>-[54]foreigndebt!Q108</f>
        <v>-1962723</v>
      </c>
      <c r="S49" s="150"/>
      <c r="U49" s="156"/>
      <c r="V49" s="322"/>
      <c r="W49" s="102">
        <f>-[54]foreigndebt!V108</f>
        <v>-5604275</v>
      </c>
      <c r="X49" s="150"/>
      <c r="Z49" s="156"/>
      <c r="AA49" s="322"/>
      <c r="AB49" s="102">
        <f>-[54]foreigndebt!AA108</f>
        <v>0</v>
      </c>
      <c r="AC49" s="150"/>
      <c r="AE49" s="156"/>
      <c r="AF49" s="322"/>
      <c r="AG49" s="102">
        <f>-[54]foreigndebt!AF108</f>
        <v>0</v>
      </c>
      <c r="AH49" s="150"/>
      <c r="AJ49" s="156"/>
      <c r="AK49" s="322"/>
      <c r="AL49" s="102">
        <f>-[54]foreigndebt!AK108</f>
        <v>0</v>
      </c>
      <c r="AM49" s="150"/>
      <c r="AO49" s="156"/>
      <c r="AP49" s="322"/>
      <c r="AQ49" s="102">
        <f>-[54]foreigndebt!AP108</f>
        <v>0</v>
      </c>
      <c r="AR49" s="150"/>
      <c r="AT49" s="156"/>
      <c r="AU49" s="322"/>
      <c r="AV49" s="102">
        <f>-[54]foreigndebt!AU108</f>
        <v>-1940</v>
      </c>
      <c r="AW49" s="150"/>
      <c r="AY49" s="156"/>
      <c r="AZ49" s="322"/>
      <c r="BA49" s="102">
        <f>-[54]foreigndebt!AZ108</f>
        <v>0</v>
      </c>
      <c r="BB49" s="150"/>
      <c r="BD49" s="156"/>
      <c r="BE49" s="322"/>
      <c r="BF49" s="102">
        <f>-[54]foreigndebt!BE108</f>
        <v>0</v>
      </c>
      <c r="BG49" s="150"/>
      <c r="BI49" s="156"/>
      <c r="BJ49" s="322"/>
      <c r="BK49" s="102">
        <f>-[54]foreigndebt!BJ108</f>
        <v>0</v>
      </c>
      <c r="BL49" s="150"/>
      <c r="BN49" s="156"/>
      <c r="BO49" s="322"/>
      <c r="BP49" s="102">
        <f>-[54]foreigndebt!BO108</f>
        <v>0</v>
      </c>
      <c r="BQ49" s="150"/>
      <c r="BS49" s="156"/>
      <c r="BT49" s="322"/>
      <c r="BU49" s="102">
        <f>-[54]foreigndebt!BT108</f>
        <v>-7960585</v>
      </c>
      <c r="BV49" s="150"/>
      <c r="BX49" s="9"/>
      <c r="CA49" s="10"/>
      <c r="CB49" s="10" t="e">
        <f>#REF!-#REF!</f>
        <v>#REF!</v>
      </c>
    </row>
    <row r="50" spans="3:80" x14ac:dyDescent="0.2">
      <c r="C50" s="148" t="s">
        <v>318</v>
      </c>
      <c r="E50" s="304"/>
      <c r="F50" s="322"/>
      <c r="G50" s="322"/>
      <c r="H50" s="163">
        <f>-[54]foreigndebt!G109</f>
        <v>-6456000</v>
      </c>
      <c r="I50" s="150"/>
      <c r="K50" s="156"/>
      <c r="L50" s="322"/>
      <c r="M50" s="163">
        <f>-[54]foreigndebt!L109</f>
        <v>-386018</v>
      </c>
      <c r="N50" s="150"/>
      <c r="P50" s="156"/>
      <c r="Q50" s="322"/>
      <c r="R50" s="163">
        <f>-[54]foreigndebt!Q109</f>
        <v>-2969263</v>
      </c>
      <c r="S50" s="150"/>
      <c r="U50" s="156"/>
      <c r="V50" s="322"/>
      <c r="W50" s="163">
        <f>-[54]foreigndebt!V109</f>
        <v>-3095425</v>
      </c>
      <c r="X50" s="150"/>
      <c r="Z50" s="156"/>
      <c r="AA50" s="322"/>
      <c r="AB50" s="163">
        <f>-[54]foreigndebt!AA109</f>
        <v>0</v>
      </c>
      <c r="AC50" s="150"/>
      <c r="AE50" s="156"/>
      <c r="AF50" s="322"/>
      <c r="AG50" s="163">
        <f>-[54]foreigndebt!AF109</f>
        <v>0</v>
      </c>
      <c r="AH50" s="150"/>
      <c r="AJ50" s="156"/>
      <c r="AK50" s="322"/>
      <c r="AL50" s="163">
        <f>-[54]foreigndebt!AK109</f>
        <v>0</v>
      </c>
      <c r="AM50" s="150"/>
      <c r="AO50" s="156"/>
      <c r="AP50" s="322"/>
      <c r="AQ50" s="163">
        <f>-[54]foreigndebt!AP109</f>
        <v>0</v>
      </c>
      <c r="AR50" s="150"/>
      <c r="AT50" s="156"/>
      <c r="AU50" s="322"/>
      <c r="AV50" s="163">
        <f>-[54]foreigndebt!AU109</f>
        <v>-5027</v>
      </c>
      <c r="AW50" s="150"/>
      <c r="AY50" s="156"/>
      <c r="AZ50" s="322"/>
      <c r="BA50" s="163">
        <f>-[54]foreigndebt!AZ109</f>
        <v>0</v>
      </c>
      <c r="BB50" s="150"/>
      <c r="BD50" s="156"/>
      <c r="BE50" s="322"/>
      <c r="BF50" s="163">
        <f>-[54]foreigndebt!BE109</f>
        <v>0</v>
      </c>
      <c r="BG50" s="150"/>
      <c r="BI50" s="156"/>
      <c r="BJ50" s="322"/>
      <c r="BK50" s="163">
        <f>-[54]foreigndebt!BJ109</f>
        <v>0</v>
      </c>
      <c r="BL50" s="150"/>
      <c r="BN50" s="156"/>
      <c r="BO50" s="322"/>
      <c r="BP50" s="163">
        <f>-[54]foreigndebt!BO109</f>
        <v>0</v>
      </c>
      <c r="BQ50" s="150"/>
      <c r="BS50" s="156"/>
      <c r="BT50" s="322"/>
      <c r="BU50" s="163">
        <f>-[54]foreigndebt!BT109</f>
        <v>-6455733</v>
      </c>
      <c r="BV50" s="150"/>
      <c r="BX50" s="9"/>
      <c r="CA50" s="10"/>
      <c r="CB50" s="10" t="e">
        <f>#REF!-#REF!</f>
        <v>#REF!</v>
      </c>
    </row>
    <row r="51" spans="3:80" ht="13.9" hidden="1" customHeight="1" x14ac:dyDescent="0.2">
      <c r="C51" s="9"/>
      <c r="E51" s="304"/>
      <c r="F51" s="322"/>
      <c r="G51" s="322"/>
      <c r="I51" s="150"/>
      <c r="K51" s="156"/>
      <c r="L51" s="322"/>
      <c r="N51" s="150"/>
      <c r="P51" s="156"/>
      <c r="Q51" s="322"/>
      <c r="S51" s="150"/>
      <c r="U51" s="156"/>
      <c r="V51" s="322"/>
      <c r="X51" s="150"/>
      <c r="Z51" s="156"/>
      <c r="AA51" s="322"/>
      <c r="AC51" s="150"/>
      <c r="AE51" s="156"/>
      <c r="AF51" s="322"/>
      <c r="AH51" s="150"/>
      <c r="AJ51" s="156"/>
      <c r="AK51" s="322"/>
      <c r="AM51" s="150"/>
      <c r="AO51" s="156"/>
      <c r="AP51" s="322"/>
      <c r="AR51" s="150"/>
      <c r="AT51" s="156"/>
      <c r="AU51" s="322"/>
      <c r="AW51" s="150"/>
      <c r="AY51" s="156"/>
      <c r="AZ51" s="322"/>
      <c r="BB51" s="150"/>
      <c r="BD51" s="156"/>
      <c r="BE51" s="322"/>
      <c r="BG51" s="150"/>
      <c r="BI51" s="156"/>
      <c r="BJ51" s="322"/>
      <c r="BL51" s="150"/>
      <c r="BN51" s="156"/>
      <c r="BO51" s="322"/>
      <c r="BQ51" s="150"/>
      <c r="BS51" s="156"/>
      <c r="BT51" s="322"/>
      <c r="BV51" s="150"/>
      <c r="BX51" s="9"/>
      <c r="CA51" s="10"/>
      <c r="CB51" s="10" t="e">
        <f>#REF!-#REF!</f>
        <v>#REF!</v>
      </c>
    </row>
    <row r="52" spans="3:80" ht="13.9" hidden="1" customHeight="1" x14ac:dyDescent="0.2">
      <c r="C52" s="9" t="s">
        <v>307</v>
      </c>
      <c r="E52" s="304"/>
      <c r="F52" s="322"/>
      <c r="G52" s="322"/>
      <c r="H52" s="1">
        <f>SUM(H53:H57)</f>
        <v>0</v>
      </c>
      <c r="I52" s="150"/>
      <c r="K52" s="156"/>
      <c r="L52" s="322"/>
      <c r="M52" s="1">
        <f>SUM(M53:M57)</f>
        <v>0</v>
      </c>
      <c r="N52" s="150"/>
      <c r="P52" s="156"/>
      <c r="Q52" s="322"/>
      <c r="R52" s="1">
        <f>SUM(R53:R57)</f>
        <v>0</v>
      </c>
      <c r="S52" s="150"/>
      <c r="U52" s="156"/>
      <c r="V52" s="322"/>
      <c r="W52" s="1">
        <f>SUM(W53:W57)</f>
        <v>0</v>
      </c>
      <c r="X52" s="150"/>
      <c r="Z52" s="156"/>
      <c r="AA52" s="322"/>
      <c r="AB52" s="1">
        <f>SUM(AB53:AB57)</f>
        <v>0</v>
      </c>
      <c r="AC52" s="150"/>
      <c r="AE52" s="156"/>
      <c r="AF52" s="322"/>
      <c r="AG52" s="1">
        <f>SUM(AG53:AG57)</f>
        <v>0</v>
      </c>
      <c r="AH52" s="150"/>
      <c r="AJ52" s="156"/>
      <c r="AK52" s="322"/>
      <c r="AL52" s="1">
        <f>SUM(AL53:AL57)</f>
        <v>0</v>
      </c>
      <c r="AM52" s="150"/>
      <c r="AO52" s="156"/>
      <c r="AP52" s="322"/>
      <c r="AQ52" s="1">
        <f>SUM(AQ53:AQ57)</f>
        <v>0</v>
      </c>
      <c r="AR52" s="150"/>
      <c r="AT52" s="156"/>
      <c r="AU52" s="322"/>
      <c r="AV52" s="1">
        <f>SUM(AV53:AV57)</f>
        <v>0</v>
      </c>
      <c r="AW52" s="150"/>
      <c r="AY52" s="156"/>
      <c r="AZ52" s="322"/>
      <c r="BA52" s="1">
        <f>SUM(BA53:BA57)</f>
        <v>0</v>
      </c>
      <c r="BB52" s="150"/>
      <c r="BD52" s="156"/>
      <c r="BE52" s="322"/>
      <c r="BF52" s="1">
        <f>SUM(BF53:BF57)</f>
        <v>0</v>
      </c>
      <c r="BG52" s="150"/>
      <c r="BI52" s="156"/>
      <c r="BJ52" s="322"/>
      <c r="BK52" s="1">
        <f>SUM(BK53:BK57)</f>
        <v>0</v>
      </c>
      <c r="BL52" s="150"/>
      <c r="BN52" s="156"/>
      <c r="BO52" s="322"/>
      <c r="BP52" s="1">
        <f>SUM(BP53:BP57)</f>
        <v>0</v>
      </c>
      <c r="BQ52" s="150"/>
      <c r="BS52" s="156"/>
      <c r="BT52" s="322"/>
      <c r="BU52" s="1">
        <f>SUM(BU53:BU57)</f>
        <v>0</v>
      </c>
      <c r="BV52" s="150"/>
      <c r="BX52" s="9"/>
      <c r="CA52" s="10"/>
      <c r="CB52" s="10" t="e">
        <f>#REF!-#REF!</f>
        <v>#REF!</v>
      </c>
    </row>
    <row r="53" spans="3:80" ht="13.9" hidden="1" customHeight="1" x14ac:dyDescent="0.2">
      <c r="C53" s="9" t="s">
        <v>301</v>
      </c>
      <c r="E53" s="304"/>
      <c r="F53" s="322"/>
      <c r="G53" s="322"/>
      <c r="H53" s="315">
        <f>[54]foreigndebt!G62</f>
        <v>0</v>
      </c>
      <c r="I53" s="150"/>
      <c r="K53" s="156"/>
      <c r="L53" s="322"/>
      <c r="M53" s="315">
        <f>[54]foreigndebt!L62</f>
        <v>0</v>
      </c>
      <c r="N53" s="150"/>
      <c r="P53" s="156"/>
      <c r="Q53" s="322"/>
      <c r="R53" s="315">
        <f>[54]foreigndebt!Q62</f>
        <v>0</v>
      </c>
      <c r="S53" s="150"/>
      <c r="U53" s="156"/>
      <c r="V53" s="322"/>
      <c r="W53" s="315">
        <f>[54]foreigndebt!V62</f>
        <v>0</v>
      </c>
      <c r="X53" s="150"/>
      <c r="Z53" s="156"/>
      <c r="AA53" s="322"/>
      <c r="AB53" s="315">
        <f>[54]foreigndebt!AA62</f>
        <v>0</v>
      </c>
      <c r="AC53" s="150"/>
      <c r="AE53" s="156"/>
      <c r="AF53" s="322"/>
      <c r="AG53" s="315">
        <f>[54]foreigndebt!AF62</f>
        <v>0</v>
      </c>
      <c r="AH53" s="150"/>
      <c r="AJ53" s="156"/>
      <c r="AK53" s="322"/>
      <c r="AL53" s="315">
        <f>[54]foreigndebt!AK62</f>
        <v>0</v>
      </c>
      <c r="AM53" s="150"/>
      <c r="AO53" s="156"/>
      <c r="AP53" s="322"/>
      <c r="AQ53" s="315">
        <f>[54]foreigndebt!AP62</f>
        <v>0</v>
      </c>
      <c r="AR53" s="150"/>
      <c r="AT53" s="156"/>
      <c r="AU53" s="322"/>
      <c r="AV53" s="315">
        <f>[54]foreigndebt!AU62</f>
        <v>0</v>
      </c>
      <c r="AW53" s="150"/>
      <c r="AY53" s="156"/>
      <c r="AZ53" s="322"/>
      <c r="BA53" s="315">
        <f>[54]foreigndebt!AZ62</f>
        <v>0</v>
      </c>
      <c r="BB53" s="150"/>
      <c r="BD53" s="156"/>
      <c r="BE53" s="322"/>
      <c r="BF53" s="315">
        <f>[54]foreigndebt!BE62</f>
        <v>0</v>
      </c>
      <c r="BG53" s="150"/>
      <c r="BI53" s="156"/>
      <c r="BJ53" s="322"/>
      <c r="BK53" s="315">
        <f>[54]foreigndebt!BJ62</f>
        <v>0</v>
      </c>
      <c r="BL53" s="150"/>
      <c r="BN53" s="156"/>
      <c r="BO53" s="322"/>
      <c r="BP53" s="315">
        <f>[54]foreigndebt!BO62</f>
        <v>0</v>
      </c>
      <c r="BQ53" s="150"/>
      <c r="BS53" s="156"/>
      <c r="BT53" s="322"/>
      <c r="BU53" s="315">
        <f>[54]foreigndebt!BT62</f>
        <v>0</v>
      </c>
      <c r="BV53" s="150"/>
      <c r="BX53" s="9"/>
      <c r="CA53" s="10"/>
      <c r="CB53" s="10" t="e">
        <f>#REF!-#REF!</f>
        <v>#REF!</v>
      </c>
    </row>
    <row r="54" spans="3:80" ht="13.9" hidden="1" customHeight="1" x14ac:dyDescent="0.2">
      <c r="C54" s="9" t="s">
        <v>303</v>
      </c>
      <c r="E54" s="304"/>
      <c r="F54" s="322"/>
      <c r="G54" s="322"/>
      <c r="H54" s="102">
        <f>-[54]foreigndebt!G64</f>
        <v>0</v>
      </c>
      <c r="I54" s="150"/>
      <c r="K54" s="156"/>
      <c r="L54" s="322"/>
      <c r="M54" s="102">
        <f>-[54]foreigndebt!L64</f>
        <v>0</v>
      </c>
      <c r="N54" s="150"/>
      <c r="P54" s="156"/>
      <c r="Q54" s="322"/>
      <c r="R54" s="102">
        <f>-[54]foreigndebt!Q64</f>
        <v>0</v>
      </c>
      <c r="S54" s="150"/>
      <c r="U54" s="156"/>
      <c r="V54" s="322"/>
      <c r="W54" s="102">
        <f>-[54]foreigndebt!V64</f>
        <v>0</v>
      </c>
      <c r="X54" s="150"/>
      <c r="Z54" s="156"/>
      <c r="AA54" s="322"/>
      <c r="AB54" s="102">
        <f>-[54]foreigndebt!AA64</f>
        <v>0</v>
      </c>
      <c r="AC54" s="150"/>
      <c r="AE54" s="156"/>
      <c r="AF54" s="322"/>
      <c r="AG54" s="102">
        <f>-[54]foreigndebt!AF64</f>
        <v>0</v>
      </c>
      <c r="AH54" s="150"/>
      <c r="AJ54" s="156"/>
      <c r="AK54" s="322"/>
      <c r="AL54" s="102">
        <f>-[54]foreigndebt!AK64</f>
        <v>0</v>
      </c>
      <c r="AM54" s="150"/>
      <c r="AO54" s="156"/>
      <c r="AP54" s="322"/>
      <c r="AQ54" s="102">
        <f>-[54]foreigndebt!AP64</f>
        <v>0</v>
      </c>
      <c r="AR54" s="150"/>
      <c r="AT54" s="156"/>
      <c r="AU54" s="322"/>
      <c r="AV54" s="102">
        <f>-[54]foreigndebt!AU64</f>
        <v>0</v>
      </c>
      <c r="AW54" s="150"/>
      <c r="AY54" s="156"/>
      <c r="AZ54" s="322"/>
      <c r="BA54" s="102">
        <f>-[54]foreigndebt!AZ64</f>
        <v>0</v>
      </c>
      <c r="BB54" s="150"/>
      <c r="BD54" s="156"/>
      <c r="BE54" s="322"/>
      <c r="BF54" s="102">
        <f>-[54]foreigndebt!BE64</f>
        <v>0</v>
      </c>
      <c r="BG54" s="150"/>
      <c r="BI54" s="156"/>
      <c r="BJ54" s="322"/>
      <c r="BK54" s="102">
        <f>-[54]foreigndebt!BJ64</f>
        <v>0</v>
      </c>
      <c r="BL54" s="150"/>
      <c r="BN54" s="156"/>
      <c r="BO54" s="322"/>
      <c r="BP54" s="102">
        <f>-[54]foreigndebt!BO64</f>
        <v>0</v>
      </c>
      <c r="BQ54" s="150"/>
      <c r="BS54" s="156"/>
      <c r="BT54" s="322"/>
      <c r="BU54" s="102">
        <f>-[54]foreigndebt!BT64</f>
        <v>0</v>
      </c>
      <c r="BV54" s="150"/>
      <c r="BX54" s="9"/>
      <c r="CA54" s="10"/>
      <c r="CB54" s="10" t="e">
        <f>#REF!-#REF!</f>
        <v>#REF!</v>
      </c>
    </row>
    <row r="55" spans="3:80" ht="13.9" hidden="1" customHeight="1" x14ac:dyDescent="0.2">
      <c r="C55" s="9" t="s">
        <v>319</v>
      </c>
      <c r="E55" s="304"/>
      <c r="F55" s="322"/>
      <c r="G55" s="322"/>
      <c r="H55" s="102"/>
      <c r="I55" s="150"/>
      <c r="K55" s="156"/>
      <c r="L55" s="322"/>
      <c r="M55" s="102"/>
      <c r="N55" s="150"/>
      <c r="P55" s="156"/>
      <c r="Q55" s="322"/>
      <c r="R55" s="102"/>
      <c r="S55" s="150"/>
      <c r="U55" s="156"/>
      <c r="V55" s="322"/>
      <c r="W55" s="102"/>
      <c r="X55" s="150"/>
      <c r="Z55" s="156"/>
      <c r="AA55" s="322"/>
      <c r="AB55" s="102"/>
      <c r="AC55" s="150"/>
      <c r="AE55" s="156"/>
      <c r="AF55" s="322"/>
      <c r="AG55" s="102"/>
      <c r="AH55" s="150"/>
      <c r="AJ55" s="156"/>
      <c r="AK55" s="322"/>
      <c r="AL55" s="102"/>
      <c r="AM55" s="150"/>
      <c r="AO55" s="156"/>
      <c r="AP55" s="322"/>
      <c r="AQ55" s="102"/>
      <c r="AR55" s="150"/>
      <c r="AT55" s="156"/>
      <c r="AU55" s="322"/>
      <c r="AV55" s="102"/>
      <c r="AW55" s="150"/>
      <c r="AY55" s="156"/>
      <c r="AZ55" s="322"/>
      <c r="BA55" s="102"/>
      <c r="BB55" s="150"/>
      <c r="BD55" s="156"/>
      <c r="BE55" s="322"/>
      <c r="BF55" s="102"/>
      <c r="BG55" s="150"/>
      <c r="BI55" s="156"/>
      <c r="BJ55" s="322"/>
      <c r="BK55" s="102"/>
      <c r="BL55" s="150"/>
      <c r="BN55" s="156"/>
      <c r="BO55" s="322"/>
      <c r="BP55" s="102"/>
      <c r="BQ55" s="150"/>
      <c r="BS55" s="156"/>
      <c r="BT55" s="322"/>
      <c r="BU55" s="102"/>
      <c r="BV55" s="150"/>
      <c r="BX55" s="9"/>
      <c r="CA55" s="10"/>
      <c r="CB55" s="10" t="e">
        <f>#REF!-#REF!</f>
        <v>#REF!</v>
      </c>
    </row>
    <row r="56" spans="3:80" ht="13.9" hidden="1" customHeight="1" x14ac:dyDescent="0.2">
      <c r="C56" s="148" t="s">
        <v>320</v>
      </c>
      <c r="E56" s="304"/>
      <c r="F56" s="322"/>
      <c r="G56" s="322"/>
      <c r="H56" s="102">
        <f>-[54]foreigndebt!G156</f>
        <v>0</v>
      </c>
      <c r="I56" s="150"/>
      <c r="K56" s="156"/>
      <c r="L56" s="322"/>
      <c r="M56" s="102">
        <f>-[54]foreigndebt!L156</f>
        <v>0</v>
      </c>
      <c r="N56" s="150"/>
      <c r="P56" s="156"/>
      <c r="Q56" s="322"/>
      <c r="R56" s="102">
        <f>-[54]foreigndebt!Q156</f>
        <v>0</v>
      </c>
      <c r="S56" s="150"/>
      <c r="U56" s="156"/>
      <c r="V56" s="322"/>
      <c r="W56" s="102">
        <f>-[54]foreigndebt!V156</f>
        <v>0</v>
      </c>
      <c r="X56" s="150"/>
      <c r="Z56" s="156"/>
      <c r="AA56" s="322"/>
      <c r="AB56" s="102">
        <f>-[54]foreigndebt!AA156</f>
        <v>0</v>
      </c>
      <c r="AC56" s="150"/>
      <c r="AE56" s="156"/>
      <c r="AF56" s="322"/>
      <c r="AG56" s="102">
        <f>-[54]foreigndebt!AF156</f>
        <v>0</v>
      </c>
      <c r="AH56" s="150"/>
      <c r="AJ56" s="156"/>
      <c r="AK56" s="322"/>
      <c r="AL56" s="102">
        <f>-[54]foreigndebt!AK156</f>
        <v>0</v>
      </c>
      <c r="AM56" s="150"/>
      <c r="AO56" s="156"/>
      <c r="AP56" s="322"/>
      <c r="AQ56" s="102">
        <f>-[54]foreigndebt!AP156</f>
        <v>0</v>
      </c>
      <c r="AR56" s="150"/>
      <c r="AT56" s="156"/>
      <c r="AU56" s="322"/>
      <c r="AV56" s="102">
        <f>-[54]foreigndebt!AU156</f>
        <v>0</v>
      </c>
      <c r="AW56" s="150"/>
      <c r="AY56" s="156"/>
      <c r="AZ56" s="322"/>
      <c r="BA56" s="102">
        <f>-[54]foreigndebt!AZ156</f>
        <v>0</v>
      </c>
      <c r="BB56" s="150"/>
      <c r="BD56" s="156"/>
      <c r="BE56" s="322"/>
      <c r="BF56" s="102">
        <f>-[54]foreigndebt!BE156</f>
        <v>0</v>
      </c>
      <c r="BG56" s="150"/>
      <c r="BI56" s="156"/>
      <c r="BJ56" s="322"/>
      <c r="BK56" s="102">
        <f>-[54]foreigndebt!BJ156</f>
        <v>0</v>
      </c>
      <c r="BL56" s="150"/>
      <c r="BN56" s="156"/>
      <c r="BO56" s="322"/>
      <c r="BP56" s="102">
        <f>-[54]foreigndebt!BO156</f>
        <v>0</v>
      </c>
      <c r="BQ56" s="150"/>
      <c r="BS56" s="156"/>
      <c r="BT56" s="322"/>
      <c r="BU56" s="102">
        <f>-[54]foreigndebt!BT156</f>
        <v>0</v>
      </c>
      <c r="BV56" s="150"/>
      <c r="BX56" s="9"/>
      <c r="CA56" s="10"/>
      <c r="CB56" s="10" t="e">
        <f>#REF!-#REF!</f>
        <v>#REF!</v>
      </c>
    </row>
    <row r="57" spans="3:80" ht="13.9" hidden="1" customHeight="1" x14ac:dyDescent="0.2">
      <c r="C57" s="148" t="s">
        <v>321</v>
      </c>
      <c r="E57" s="304"/>
      <c r="F57" s="322"/>
      <c r="G57" s="322"/>
      <c r="H57" s="163">
        <f>-[54]foreigndebt!G157</f>
        <v>0</v>
      </c>
      <c r="I57" s="150"/>
      <c r="K57" s="156"/>
      <c r="L57" s="322"/>
      <c r="M57" s="163">
        <f>-[54]foreigndebt!L157</f>
        <v>0</v>
      </c>
      <c r="N57" s="150"/>
      <c r="P57" s="156"/>
      <c r="Q57" s="322"/>
      <c r="R57" s="163">
        <f>-[54]foreigndebt!Q157</f>
        <v>0</v>
      </c>
      <c r="S57" s="150"/>
      <c r="U57" s="156"/>
      <c r="V57" s="322"/>
      <c r="W57" s="163">
        <f>-[54]foreigndebt!V157</f>
        <v>0</v>
      </c>
      <c r="X57" s="150"/>
      <c r="Z57" s="156"/>
      <c r="AA57" s="322"/>
      <c r="AB57" s="163">
        <f>-[54]foreigndebt!AA157</f>
        <v>0</v>
      </c>
      <c r="AC57" s="150"/>
      <c r="AE57" s="156"/>
      <c r="AF57" s="322"/>
      <c r="AG57" s="163">
        <f>-[54]foreigndebt!AF157</f>
        <v>0</v>
      </c>
      <c r="AH57" s="150"/>
      <c r="AJ57" s="156"/>
      <c r="AK57" s="322"/>
      <c r="AL57" s="163">
        <f>-[54]foreigndebt!AK157</f>
        <v>0</v>
      </c>
      <c r="AM57" s="150"/>
      <c r="AO57" s="156"/>
      <c r="AP57" s="322"/>
      <c r="AQ57" s="163">
        <f>-[54]foreigndebt!AP157</f>
        <v>0</v>
      </c>
      <c r="AR57" s="150"/>
      <c r="AT57" s="156"/>
      <c r="AU57" s="322"/>
      <c r="AV57" s="163">
        <f>-[54]foreigndebt!AU157</f>
        <v>0</v>
      </c>
      <c r="AW57" s="150"/>
      <c r="AY57" s="156"/>
      <c r="AZ57" s="322"/>
      <c r="BA57" s="163">
        <f>-[54]foreigndebt!AZ157</f>
        <v>0</v>
      </c>
      <c r="BB57" s="150"/>
      <c r="BD57" s="156"/>
      <c r="BE57" s="322"/>
      <c r="BF57" s="163">
        <f>-[54]foreigndebt!BE157</f>
        <v>0</v>
      </c>
      <c r="BG57" s="150"/>
      <c r="BI57" s="156"/>
      <c r="BJ57" s="322"/>
      <c r="BK57" s="163">
        <f>-[54]foreigndebt!BJ157</f>
        <v>0</v>
      </c>
      <c r="BL57" s="150"/>
      <c r="BN57" s="156"/>
      <c r="BO57" s="322"/>
      <c r="BP57" s="163">
        <f>-[54]foreigndebt!BO157</f>
        <v>0</v>
      </c>
      <c r="BQ57" s="150"/>
      <c r="BS57" s="156"/>
      <c r="BT57" s="322"/>
      <c r="BU57" s="163">
        <f>-[54]foreigndebt!BT157</f>
        <v>0</v>
      </c>
      <c r="BV57" s="150"/>
      <c r="BX57" s="9"/>
      <c r="CA57" s="10"/>
      <c r="CB57" s="10" t="e">
        <f>#REF!-#REF!</f>
        <v>#REF!</v>
      </c>
    </row>
    <row r="58" spans="3:80" ht="13.9" hidden="1" customHeight="1" x14ac:dyDescent="0.2">
      <c r="C58" s="9"/>
      <c r="E58" s="304"/>
      <c r="F58" s="322"/>
      <c r="G58" s="322"/>
      <c r="I58" s="150"/>
      <c r="K58" s="156"/>
      <c r="L58" s="322"/>
      <c r="N58" s="150"/>
      <c r="P58" s="156"/>
      <c r="Q58" s="322"/>
      <c r="S58" s="150"/>
      <c r="U58" s="156"/>
      <c r="V58" s="322"/>
      <c r="X58" s="150"/>
      <c r="Z58" s="156"/>
      <c r="AA58" s="322"/>
      <c r="AC58" s="150"/>
      <c r="AE58" s="156"/>
      <c r="AF58" s="322"/>
      <c r="AH58" s="150"/>
      <c r="AJ58" s="156"/>
      <c r="AK58" s="322"/>
      <c r="AM58" s="150"/>
      <c r="AO58" s="156"/>
      <c r="AP58" s="322"/>
      <c r="AR58" s="150"/>
      <c r="AT58" s="156"/>
      <c r="AU58" s="322"/>
      <c r="AW58" s="150"/>
      <c r="AY58" s="156"/>
      <c r="AZ58" s="322"/>
      <c r="BB58" s="150"/>
      <c r="BD58" s="156"/>
      <c r="BE58" s="322"/>
      <c r="BG58" s="150"/>
      <c r="BI58" s="156"/>
      <c r="BJ58" s="322"/>
      <c r="BL58" s="150"/>
      <c r="BN58" s="156"/>
      <c r="BO58" s="322"/>
      <c r="BQ58" s="150"/>
      <c r="BS58" s="156"/>
      <c r="BT58" s="322"/>
      <c r="BV58" s="150"/>
      <c r="BX58" s="9"/>
      <c r="CA58" s="10"/>
      <c r="CB58" s="10" t="e">
        <f>#REF!-#REF!</f>
        <v>#REF!</v>
      </c>
    </row>
    <row r="59" spans="3:80" ht="12.75" hidden="1" customHeight="1" x14ac:dyDescent="0.2">
      <c r="C59" s="9" t="s">
        <v>322</v>
      </c>
      <c r="E59" s="304"/>
      <c r="F59" s="322"/>
      <c r="G59" s="322"/>
      <c r="H59" s="1">
        <v>0</v>
      </c>
      <c r="I59" s="150"/>
      <c r="K59" s="156"/>
      <c r="L59" s="322"/>
      <c r="M59" s="1">
        <f>SUM(M60:M64)</f>
        <v>0</v>
      </c>
      <c r="N59" s="150"/>
      <c r="P59" s="156"/>
      <c r="Q59" s="322"/>
      <c r="R59" s="1">
        <f>SUM(R60:R64)</f>
        <v>0</v>
      </c>
      <c r="S59" s="150"/>
      <c r="U59" s="156"/>
      <c r="V59" s="322"/>
      <c r="W59" s="1">
        <f>SUM(W60:W64)</f>
        <v>0</v>
      </c>
      <c r="X59" s="150"/>
      <c r="Z59" s="156"/>
      <c r="AA59" s="322"/>
      <c r="AB59" s="1">
        <f>SUM(AB60:AB64)</f>
        <v>0</v>
      </c>
      <c r="AC59" s="150"/>
      <c r="AE59" s="156"/>
      <c r="AF59" s="322"/>
      <c r="AG59" s="1">
        <f>SUM(AG60:AG64)</f>
        <v>0</v>
      </c>
      <c r="AH59" s="150"/>
      <c r="AJ59" s="156"/>
      <c r="AK59" s="322"/>
      <c r="AL59" s="1">
        <f>SUM(AL60:AL64)</f>
        <v>0</v>
      </c>
      <c r="AM59" s="150"/>
      <c r="AO59" s="156"/>
      <c r="AP59" s="322"/>
      <c r="AQ59" s="1">
        <f>SUM(AQ60:AQ64)</f>
        <v>0</v>
      </c>
      <c r="AR59" s="150"/>
      <c r="AT59" s="156"/>
      <c r="AU59" s="322"/>
      <c r="AV59" s="1">
        <f>SUM(AV60:AV64)</f>
        <v>0</v>
      </c>
      <c r="AW59" s="150"/>
      <c r="AY59" s="156"/>
      <c r="AZ59" s="322"/>
      <c r="BA59" s="1">
        <f>SUM(BA60:BA64)</f>
        <v>0</v>
      </c>
      <c r="BB59" s="150"/>
      <c r="BD59" s="156"/>
      <c r="BE59" s="322"/>
      <c r="BF59" s="1">
        <f>SUM(BF60:BF64)</f>
        <v>0</v>
      </c>
      <c r="BG59" s="150"/>
      <c r="BI59" s="156"/>
      <c r="BJ59" s="322"/>
      <c r="BK59" s="1">
        <f>SUM(BK60:BK64)</f>
        <v>0</v>
      </c>
      <c r="BL59" s="150"/>
      <c r="BN59" s="156"/>
      <c r="BO59" s="322"/>
      <c r="BP59" s="1">
        <f>SUM(BP60:BP64)</f>
        <v>0</v>
      </c>
      <c r="BQ59" s="150"/>
      <c r="BS59" s="156"/>
      <c r="BT59" s="322"/>
      <c r="BU59" s="1">
        <f>SUM(BU60:BU64)</f>
        <v>0</v>
      </c>
      <c r="BV59" s="150"/>
      <c r="BX59" s="9"/>
      <c r="CA59" s="10"/>
      <c r="CB59" s="10" t="e">
        <f>#REF!-#REF!</f>
        <v>#REF!</v>
      </c>
    </row>
    <row r="60" spans="3:80" ht="13.9" hidden="1" customHeight="1" x14ac:dyDescent="0.2">
      <c r="C60" s="9" t="s">
        <v>301</v>
      </c>
      <c r="E60" s="304"/>
      <c r="F60" s="322"/>
      <c r="G60" s="322"/>
      <c r="H60" s="315">
        <v>0</v>
      </c>
      <c r="I60" s="150"/>
      <c r="K60" s="156"/>
      <c r="L60" s="322"/>
      <c r="M60" s="315">
        <f>[54]foreigndebt!L72</f>
        <v>0</v>
      </c>
      <c r="N60" s="150"/>
      <c r="P60" s="156"/>
      <c r="Q60" s="322"/>
      <c r="R60" s="315">
        <f>[54]foreigndebt!Q72</f>
        <v>0</v>
      </c>
      <c r="S60" s="150"/>
      <c r="U60" s="156"/>
      <c r="V60" s="322"/>
      <c r="W60" s="315">
        <f>[54]foreigndebt!V72</f>
        <v>0</v>
      </c>
      <c r="X60" s="150"/>
      <c r="Z60" s="156"/>
      <c r="AA60" s="322"/>
      <c r="AB60" s="315">
        <f>[54]foreigndebt!AA72</f>
        <v>0</v>
      </c>
      <c r="AC60" s="150"/>
      <c r="AE60" s="156"/>
      <c r="AF60" s="322"/>
      <c r="AG60" s="315">
        <f>[54]foreigndebt!AF72</f>
        <v>0</v>
      </c>
      <c r="AH60" s="150"/>
      <c r="AJ60" s="156"/>
      <c r="AK60" s="322"/>
      <c r="AL60" s="315">
        <f>[54]foreigndebt!AK72</f>
        <v>0</v>
      </c>
      <c r="AM60" s="150"/>
      <c r="AO60" s="156"/>
      <c r="AP60" s="322"/>
      <c r="AQ60" s="315">
        <f>[54]foreigndebt!AP72</f>
        <v>0</v>
      </c>
      <c r="AR60" s="150"/>
      <c r="AT60" s="156"/>
      <c r="AU60" s="322"/>
      <c r="AV60" s="315">
        <f>[54]foreigndebt!AU72</f>
        <v>0</v>
      </c>
      <c r="AW60" s="150"/>
      <c r="AY60" s="156"/>
      <c r="AZ60" s="322"/>
      <c r="BA60" s="315">
        <f>[54]foreigndebt!AZ72</f>
        <v>0</v>
      </c>
      <c r="BB60" s="150"/>
      <c r="BD60" s="156"/>
      <c r="BE60" s="322"/>
      <c r="BF60" s="315">
        <f>[54]foreigndebt!BE72</f>
        <v>0</v>
      </c>
      <c r="BG60" s="150"/>
      <c r="BI60" s="156"/>
      <c r="BJ60" s="322"/>
      <c r="BK60" s="315">
        <f>[54]foreigndebt!BJ72</f>
        <v>0</v>
      </c>
      <c r="BL60" s="150"/>
      <c r="BN60" s="156"/>
      <c r="BO60" s="322"/>
      <c r="BP60" s="315">
        <f>[54]foreigndebt!BO72</f>
        <v>0</v>
      </c>
      <c r="BQ60" s="150"/>
      <c r="BS60" s="156"/>
      <c r="BT60" s="322"/>
      <c r="BU60" s="315">
        <f>[54]foreigndebt!BT72</f>
        <v>0</v>
      </c>
      <c r="BV60" s="150"/>
      <c r="BX60" s="9"/>
      <c r="CA60" s="10"/>
      <c r="CB60" s="10" t="e">
        <f>#REF!-#REF!</f>
        <v>#REF!</v>
      </c>
    </row>
    <row r="61" spans="3:80" ht="13.9" hidden="1" customHeight="1" x14ac:dyDescent="0.2">
      <c r="C61" s="9" t="s">
        <v>303</v>
      </c>
      <c r="E61" s="304"/>
      <c r="F61" s="322"/>
      <c r="G61" s="322"/>
      <c r="H61" s="102">
        <v>0</v>
      </c>
      <c r="I61" s="150"/>
      <c r="K61" s="156"/>
      <c r="L61" s="322"/>
      <c r="M61" s="102">
        <f>-[54]foreigndebt!L74</f>
        <v>0</v>
      </c>
      <c r="N61" s="150"/>
      <c r="P61" s="156"/>
      <c r="Q61" s="322"/>
      <c r="R61" s="102">
        <f>-[54]foreigndebt!Q74</f>
        <v>0</v>
      </c>
      <c r="S61" s="150"/>
      <c r="U61" s="156"/>
      <c r="V61" s="322"/>
      <c r="W61" s="102">
        <f>-[54]foreigndebt!V74</f>
        <v>0</v>
      </c>
      <c r="X61" s="150"/>
      <c r="Z61" s="156"/>
      <c r="AA61" s="322"/>
      <c r="AB61" s="102">
        <f>-[54]foreigndebt!AA74</f>
        <v>0</v>
      </c>
      <c r="AC61" s="150"/>
      <c r="AE61" s="156"/>
      <c r="AF61" s="322"/>
      <c r="AG61" s="102">
        <f>-[54]foreigndebt!AF74</f>
        <v>0</v>
      </c>
      <c r="AH61" s="150"/>
      <c r="AJ61" s="156"/>
      <c r="AK61" s="322"/>
      <c r="AL61" s="102">
        <f>-[54]foreigndebt!AK74</f>
        <v>0</v>
      </c>
      <c r="AM61" s="150"/>
      <c r="AO61" s="156"/>
      <c r="AP61" s="322"/>
      <c r="AQ61" s="102">
        <f>-[54]foreigndebt!AP74</f>
        <v>0</v>
      </c>
      <c r="AR61" s="150"/>
      <c r="AT61" s="156"/>
      <c r="AU61" s="322"/>
      <c r="AV61" s="102">
        <f>-[54]foreigndebt!AU74</f>
        <v>0</v>
      </c>
      <c r="AW61" s="150"/>
      <c r="AY61" s="156"/>
      <c r="AZ61" s="322"/>
      <c r="BA61" s="102">
        <f>-[54]foreigndebt!AZ74</f>
        <v>0</v>
      </c>
      <c r="BB61" s="150"/>
      <c r="BD61" s="156"/>
      <c r="BE61" s="322"/>
      <c r="BF61" s="102">
        <f>-[54]foreigndebt!BE74</f>
        <v>0</v>
      </c>
      <c r="BG61" s="150"/>
      <c r="BI61" s="156"/>
      <c r="BJ61" s="322"/>
      <c r="BK61" s="102">
        <f>-[54]foreigndebt!BJ74</f>
        <v>0</v>
      </c>
      <c r="BL61" s="150"/>
      <c r="BN61" s="156"/>
      <c r="BO61" s="322"/>
      <c r="BP61" s="102">
        <f>-[54]foreigndebt!BO74</f>
        <v>0</v>
      </c>
      <c r="BQ61" s="150"/>
      <c r="BS61" s="156"/>
      <c r="BT61" s="322"/>
      <c r="BU61" s="102">
        <f>-[54]foreigndebt!BT74</f>
        <v>0</v>
      </c>
      <c r="BV61" s="150"/>
      <c r="BX61" s="9"/>
      <c r="CA61" s="10"/>
      <c r="CB61" s="10" t="e">
        <f>#REF!-#REF!</f>
        <v>#REF!</v>
      </c>
    </row>
    <row r="62" spans="3:80" ht="13.9" hidden="1" customHeight="1" x14ac:dyDescent="0.2">
      <c r="C62" s="9" t="s">
        <v>306</v>
      </c>
      <c r="E62" s="304"/>
      <c r="F62" s="322"/>
      <c r="G62" s="322"/>
      <c r="H62" s="102"/>
      <c r="I62" s="150"/>
      <c r="K62" s="156"/>
      <c r="L62" s="322"/>
      <c r="M62" s="102"/>
      <c r="N62" s="150"/>
      <c r="P62" s="156"/>
      <c r="Q62" s="322"/>
      <c r="R62" s="102"/>
      <c r="S62" s="150"/>
      <c r="U62" s="156"/>
      <c r="V62" s="322"/>
      <c r="W62" s="102"/>
      <c r="X62" s="150"/>
      <c r="Z62" s="156"/>
      <c r="AA62" s="322"/>
      <c r="AB62" s="102"/>
      <c r="AC62" s="150"/>
      <c r="AE62" s="156"/>
      <c r="AF62" s="322"/>
      <c r="AG62" s="102"/>
      <c r="AH62" s="150"/>
      <c r="AJ62" s="156"/>
      <c r="AK62" s="322"/>
      <c r="AL62" s="102"/>
      <c r="AM62" s="150"/>
      <c r="AO62" s="156"/>
      <c r="AP62" s="322"/>
      <c r="AQ62" s="102"/>
      <c r="AR62" s="150"/>
      <c r="AT62" s="156"/>
      <c r="AU62" s="322"/>
      <c r="AV62" s="102"/>
      <c r="AW62" s="150"/>
      <c r="AY62" s="156"/>
      <c r="AZ62" s="322"/>
      <c r="BA62" s="102"/>
      <c r="BB62" s="150"/>
      <c r="BD62" s="156"/>
      <c r="BE62" s="322"/>
      <c r="BF62" s="102"/>
      <c r="BG62" s="150"/>
      <c r="BI62" s="156"/>
      <c r="BJ62" s="322"/>
      <c r="BK62" s="102"/>
      <c r="BL62" s="150"/>
      <c r="BN62" s="156"/>
      <c r="BO62" s="322"/>
      <c r="BP62" s="102"/>
      <c r="BQ62" s="150"/>
      <c r="BS62" s="156"/>
      <c r="BT62" s="322"/>
      <c r="BU62" s="102"/>
      <c r="BV62" s="150"/>
      <c r="BX62" s="9"/>
      <c r="CA62" s="10"/>
      <c r="CB62" s="10" t="e">
        <f>#REF!-#REF!</f>
        <v>#REF!</v>
      </c>
    </row>
    <row r="63" spans="3:80" ht="13.9" hidden="1" customHeight="1" x14ac:dyDescent="0.2">
      <c r="C63" s="148" t="s">
        <v>320</v>
      </c>
      <c r="E63" s="304"/>
      <c r="F63" s="322"/>
      <c r="G63" s="322"/>
      <c r="H63" s="102">
        <v>0</v>
      </c>
      <c r="I63" s="150"/>
      <c r="K63" s="156"/>
      <c r="L63" s="322"/>
      <c r="M63" s="102">
        <f>-[54]foreigndebt!L168</f>
        <v>0</v>
      </c>
      <c r="N63" s="150"/>
      <c r="P63" s="156"/>
      <c r="Q63" s="322"/>
      <c r="R63" s="102">
        <f>-[54]foreigndebt!Q168</f>
        <v>0</v>
      </c>
      <c r="S63" s="150"/>
      <c r="U63" s="156"/>
      <c r="V63" s="322"/>
      <c r="W63" s="102">
        <f>-[54]foreigndebt!V168</f>
        <v>0</v>
      </c>
      <c r="X63" s="150"/>
      <c r="Z63" s="156"/>
      <c r="AA63" s="322"/>
      <c r="AB63" s="102">
        <f>-[54]foreigndebt!AA168</f>
        <v>0</v>
      </c>
      <c r="AC63" s="150"/>
      <c r="AE63" s="156"/>
      <c r="AF63" s="322"/>
      <c r="AG63" s="102">
        <f>-[54]foreigndebt!AF168</f>
        <v>0</v>
      </c>
      <c r="AH63" s="150"/>
      <c r="AJ63" s="156"/>
      <c r="AK63" s="322"/>
      <c r="AL63" s="102">
        <f>-[54]foreigndebt!AK168</f>
        <v>0</v>
      </c>
      <c r="AM63" s="150"/>
      <c r="AO63" s="156"/>
      <c r="AP63" s="322"/>
      <c r="AQ63" s="102">
        <f>-[54]foreigndebt!AP168</f>
        <v>0</v>
      </c>
      <c r="AR63" s="150"/>
      <c r="AT63" s="156"/>
      <c r="AU63" s="322"/>
      <c r="AV63" s="102">
        <f>-[54]foreigndebt!AU168</f>
        <v>0</v>
      </c>
      <c r="AW63" s="150"/>
      <c r="AY63" s="156"/>
      <c r="AZ63" s="322"/>
      <c r="BA63" s="102">
        <f>-[54]foreigndebt!AZ168</f>
        <v>0</v>
      </c>
      <c r="BB63" s="150"/>
      <c r="BD63" s="156"/>
      <c r="BE63" s="322"/>
      <c r="BF63" s="102">
        <f>-[54]foreigndebt!BE168</f>
        <v>0</v>
      </c>
      <c r="BG63" s="150"/>
      <c r="BI63" s="156"/>
      <c r="BJ63" s="322"/>
      <c r="BK63" s="102">
        <f>-[54]foreigndebt!BJ168</f>
        <v>0</v>
      </c>
      <c r="BL63" s="150"/>
      <c r="BN63" s="156"/>
      <c r="BO63" s="322"/>
      <c r="BP63" s="102">
        <f>-[54]foreigndebt!BO168</f>
        <v>0</v>
      </c>
      <c r="BQ63" s="150"/>
      <c r="BS63" s="156"/>
      <c r="BT63" s="322"/>
      <c r="BU63" s="102">
        <f>-[54]foreigndebt!BT168</f>
        <v>0</v>
      </c>
      <c r="BV63" s="150"/>
      <c r="BX63" s="9"/>
      <c r="CA63" s="10"/>
      <c r="CB63" s="10" t="e">
        <f>#REF!-#REF!</f>
        <v>#REF!</v>
      </c>
    </row>
    <row r="64" spans="3:80" ht="13.9" hidden="1" customHeight="1" x14ac:dyDescent="0.2">
      <c r="C64" s="148" t="s">
        <v>321</v>
      </c>
      <c r="E64" s="304"/>
      <c r="F64" s="322"/>
      <c r="G64" s="322"/>
      <c r="H64" s="163">
        <v>0</v>
      </c>
      <c r="I64" s="150"/>
      <c r="K64" s="156"/>
      <c r="L64" s="322"/>
      <c r="M64" s="163">
        <f>-[54]foreigndebt!L169</f>
        <v>0</v>
      </c>
      <c r="N64" s="150"/>
      <c r="P64" s="156"/>
      <c r="Q64" s="322"/>
      <c r="R64" s="163">
        <f>-[54]foreigndebt!Q169</f>
        <v>0</v>
      </c>
      <c r="S64" s="150"/>
      <c r="U64" s="156"/>
      <c r="V64" s="322"/>
      <c r="W64" s="163">
        <f>-[54]foreigndebt!V169</f>
        <v>0</v>
      </c>
      <c r="X64" s="150"/>
      <c r="Z64" s="156"/>
      <c r="AA64" s="322"/>
      <c r="AB64" s="163">
        <f>-[54]foreigndebt!AA169</f>
        <v>0</v>
      </c>
      <c r="AC64" s="150"/>
      <c r="AE64" s="156"/>
      <c r="AF64" s="322"/>
      <c r="AG64" s="163">
        <f>-[54]foreigndebt!AF169</f>
        <v>0</v>
      </c>
      <c r="AH64" s="150"/>
      <c r="AJ64" s="156"/>
      <c r="AK64" s="322"/>
      <c r="AL64" s="163">
        <f>-[54]foreigndebt!AK169</f>
        <v>0</v>
      </c>
      <c r="AM64" s="150"/>
      <c r="AO64" s="156"/>
      <c r="AP64" s="322"/>
      <c r="AQ64" s="163">
        <f>-[54]foreigndebt!AP169</f>
        <v>0</v>
      </c>
      <c r="AR64" s="150"/>
      <c r="AT64" s="156"/>
      <c r="AU64" s="322"/>
      <c r="AV64" s="163">
        <f>-[54]foreigndebt!AU169</f>
        <v>0</v>
      </c>
      <c r="AW64" s="150"/>
      <c r="AY64" s="156"/>
      <c r="AZ64" s="322"/>
      <c r="BA64" s="163">
        <f>-[54]foreigndebt!AZ169</f>
        <v>0</v>
      </c>
      <c r="BB64" s="150"/>
      <c r="BD64" s="156"/>
      <c r="BE64" s="322"/>
      <c r="BF64" s="163">
        <f>-[54]foreigndebt!BE169</f>
        <v>0</v>
      </c>
      <c r="BG64" s="150"/>
      <c r="BI64" s="156"/>
      <c r="BJ64" s="322"/>
      <c r="BK64" s="163">
        <f>-[54]foreigndebt!BJ169</f>
        <v>0</v>
      </c>
      <c r="BL64" s="150"/>
      <c r="BN64" s="156"/>
      <c r="BO64" s="322"/>
      <c r="BP64" s="163">
        <f>-[54]foreigndebt!BO169</f>
        <v>0</v>
      </c>
      <c r="BQ64" s="150"/>
      <c r="BS64" s="156"/>
      <c r="BT64" s="322"/>
      <c r="BU64" s="163">
        <f>-[54]foreigndebt!BT169</f>
        <v>0</v>
      </c>
      <c r="BV64" s="150"/>
      <c r="BX64" s="9"/>
      <c r="CA64" s="10"/>
      <c r="CB64" s="10" t="e">
        <f>#REF!-#REF!</f>
        <v>#REF!</v>
      </c>
    </row>
    <row r="65" spans="3:80" x14ac:dyDescent="0.2">
      <c r="C65" s="9"/>
      <c r="E65" s="304"/>
      <c r="F65" s="322"/>
      <c r="G65" s="336"/>
      <c r="H65" s="158"/>
      <c r="I65" s="162"/>
      <c r="K65" s="156"/>
      <c r="L65" s="336"/>
      <c r="M65" s="158"/>
      <c r="N65" s="162"/>
      <c r="P65" s="156"/>
      <c r="Q65" s="336"/>
      <c r="R65" s="158"/>
      <c r="S65" s="162"/>
      <c r="U65" s="156"/>
      <c r="V65" s="336"/>
      <c r="W65" s="158"/>
      <c r="X65" s="162"/>
      <c r="Z65" s="156"/>
      <c r="AA65" s="336"/>
      <c r="AB65" s="158"/>
      <c r="AC65" s="162"/>
      <c r="AE65" s="156"/>
      <c r="AF65" s="336"/>
      <c r="AG65" s="158"/>
      <c r="AH65" s="162"/>
      <c r="AJ65" s="156"/>
      <c r="AK65" s="336"/>
      <c r="AL65" s="158"/>
      <c r="AM65" s="162"/>
      <c r="AO65" s="156"/>
      <c r="AP65" s="336"/>
      <c r="AQ65" s="158"/>
      <c r="AR65" s="162"/>
      <c r="AT65" s="156"/>
      <c r="AU65" s="336"/>
      <c r="AV65" s="158"/>
      <c r="AW65" s="162"/>
      <c r="AY65" s="156"/>
      <c r="AZ65" s="336"/>
      <c r="BA65" s="158"/>
      <c r="BB65" s="162"/>
      <c r="BD65" s="156"/>
      <c r="BE65" s="336"/>
      <c r="BF65" s="158"/>
      <c r="BG65" s="162"/>
      <c r="BI65" s="156"/>
      <c r="BJ65" s="336"/>
      <c r="BK65" s="158"/>
      <c r="BL65" s="162"/>
      <c r="BN65" s="156"/>
      <c r="BO65" s="336"/>
      <c r="BP65" s="158"/>
      <c r="BQ65" s="162"/>
      <c r="BS65" s="156"/>
      <c r="BT65" s="336"/>
      <c r="BU65" s="158"/>
      <c r="BV65" s="162"/>
      <c r="BX65" s="9"/>
      <c r="CA65" s="10"/>
      <c r="CB65" s="10" t="e">
        <f>#REF!-#REF!</f>
        <v>#REF!</v>
      </c>
    </row>
    <row r="66" spans="3:80" x14ac:dyDescent="0.2">
      <c r="C66" s="9"/>
      <c r="E66" s="304"/>
      <c r="F66" s="322"/>
      <c r="G66" s="323"/>
      <c r="K66" s="156"/>
      <c r="P66" s="156"/>
      <c r="U66" s="156"/>
      <c r="Z66" s="156"/>
      <c r="AE66" s="156"/>
      <c r="AJ66" s="156"/>
      <c r="AO66" s="156"/>
      <c r="AT66" s="156"/>
      <c r="AY66" s="156"/>
      <c r="BD66" s="156"/>
      <c r="BI66" s="156"/>
      <c r="BN66" s="156"/>
      <c r="BS66" s="156"/>
      <c r="BX66" s="9"/>
      <c r="CA66" s="10"/>
      <c r="CB66" s="10" t="e">
        <f>#REF!-#REF!</f>
        <v>#REF!</v>
      </c>
    </row>
    <row r="67" spans="3:80" s="10" customFormat="1" x14ac:dyDescent="0.2">
      <c r="C67" s="79" t="s">
        <v>323</v>
      </c>
      <c r="E67" s="327" t="s">
        <v>324</v>
      </c>
      <c r="F67" s="328"/>
      <c r="G67" s="334"/>
      <c r="H67" s="306">
        <f>SUM(H68:H75)</f>
        <v>47835711.668461092</v>
      </c>
      <c r="I67" s="306"/>
      <c r="J67" s="306"/>
      <c r="K67" s="307"/>
      <c r="L67" s="306"/>
      <c r="M67" s="10">
        <f>SUM(M68:M75)</f>
        <v>-18499278.953769997</v>
      </c>
      <c r="P67" s="145"/>
      <c r="R67" s="10">
        <f>SUM(R68:R75)</f>
        <v>537410.36356998235</v>
      </c>
      <c r="U67" s="145"/>
      <c r="W67" s="10">
        <f>SUM(W68:W75)</f>
        <v>-23974845.376640022</v>
      </c>
      <c r="Z67" s="145"/>
      <c r="AB67" s="10">
        <f>SUM(AB68:AB75)</f>
        <v>-39272434.960170001</v>
      </c>
      <c r="AE67" s="145"/>
      <c r="AG67" s="10">
        <f>SUM(AG68:AG75)</f>
        <v>32418642.456500009</v>
      </c>
      <c r="AJ67" s="145"/>
      <c r="AL67" s="10">
        <f>SUM(AL68:AL75)</f>
        <v>-8875713.0291699618</v>
      </c>
      <c r="AO67" s="145"/>
      <c r="AQ67" s="10">
        <f>SUM(AQ68:AQ75)</f>
        <v>-36949546.152860001</v>
      </c>
      <c r="AT67" s="145"/>
      <c r="AV67" s="10">
        <f>SUM(AV68:AV75)</f>
        <v>-18096631.773589998</v>
      </c>
      <c r="AY67" s="145"/>
      <c r="BA67" s="10">
        <f>SUM(BA68:BA75)</f>
        <v>-17747258.769499987</v>
      </c>
      <c r="BD67" s="145"/>
      <c r="BF67" s="10">
        <f>SUM(BF68:BF75)</f>
        <v>25860728.776310012</v>
      </c>
      <c r="BI67" s="145"/>
      <c r="BK67" s="10">
        <f>SUM(BK68:BK75)</f>
        <v>378365248</v>
      </c>
      <c r="BN67" s="145"/>
      <c r="BP67" s="10">
        <f>SUM(BP68:BP75)</f>
        <v>0</v>
      </c>
      <c r="BS67" s="145"/>
      <c r="BU67" s="10">
        <f>SUM(BU68:BU75)</f>
        <v>-104598927.41931997</v>
      </c>
      <c r="BX67" s="79"/>
      <c r="CB67" s="10" t="e">
        <f>#REF!-#REF!</f>
        <v>#REF!</v>
      </c>
    </row>
    <row r="68" spans="3:80" ht="12.75" customHeight="1" x14ac:dyDescent="0.2">
      <c r="C68" s="9" t="s">
        <v>325</v>
      </c>
      <c r="E68" s="304"/>
      <c r="F68" s="322"/>
      <c r="G68" s="326"/>
      <c r="H68" s="86">
        <f>+[54]cashbalances!H12</f>
        <v>40467668</v>
      </c>
      <c r="I68" s="310"/>
      <c r="K68" s="156"/>
      <c r="L68" s="309"/>
      <c r="M68" s="86">
        <f>+[54]cashbalances!M12</f>
        <v>-18484170</v>
      </c>
      <c r="N68" s="310"/>
      <c r="P68" s="156"/>
      <c r="Q68" s="309"/>
      <c r="R68" s="86">
        <f>+[54]cashbalances!R12</f>
        <v>3349854</v>
      </c>
      <c r="S68" s="310"/>
      <c r="U68" s="156"/>
      <c r="V68" s="309"/>
      <c r="W68" s="86">
        <f>+[54]cashbalances!W12</f>
        <v>-22973000</v>
      </c>
      <c r="X68" s="310"/>
      <c r="Z68" s="156"/>
      <c r="AA68" s="309"/>
      <c r="AB68" s="86">
        <f>+[54]cashbalances!AB12</f>
        <v>-53649787</v>
      </c>
      <c r="AC68" s="310"/>
      <c r="AE68" s="156"/>
      <c r="AF68" s="309"/>
      <c r="AG68" s="86">
        <f>+[54]cashbalances!AG12</f>
        <v>41961434</v>
      </c>
      <c r="AH68" s="310"/>
      <c r="AJ68" s="156"/>
      <c r="AK68" s="309"/>
      <c r="AL68" s="86">
        <f>+[54]cashbalances!AL12</f>
        <v>-13252498</v>
      </c>
      <c r="AM68" s="310"/>
      <c r="AO68" s="156"/>
      <c r="AP68" s="309"/>
      <c r="AQ68" s="86">
        <f>+[54]cashbalances!AQ12</f>
        <v>-40961985</v>
      </c>
      <c r="AR68" s="310"/>
      <c r="AT68" s="156"/>
      <c r="AU68" s="309"/>
      <c r="AV68" s="86">
        <f>+[54]cashbalances!AV12</f>
        <v>-19510192</v>
      </c>
      <c r="AW68" s="310"/>
      <c r="AY68" s="156"/>
      <c r="AZ68" s="309"/>
      <c r="BA68" s="86">
        <f>+[54]cashbalances!BA12</f>
        <v>-18762903</v>
      </c>
      <c r="BB68" s="310"/>
      <c r="BD68" s="156"/>
      <c r="BE68" s="309"/>
      <c r="BF68" s="86">
        <f>+[54]cashbalances!BF12</f>
        <v>-420333</v>
      </c>
      <c r="BG68" s="310"/>
      <c r="BI68" s="156"/>
      <c r="BJ68" s="309"/>
      <c r="BK68" s="86">
        <f>+[54]cashbalances!BK12</f>
        <v>378365248</v>
      </c>
      <c r="BL68" s="310"/>
      <c r="BN68" s="156"/>
      <c r="BO68" s="309"/>
      <c r="BP68" s="86">
        <f>+[54]cashbalances!BP12</f>
        <v>0</v>
      </c>
      <c r="BQ68" s="310"/>
      <c r="BS68" s="156"/>
      <c r="BT68" s="309"/>
      <c r="BU68" s="86">
        <f>+[54]cashbalances!BU12</f>
        <v>-142703580</v>
      </c>
      <c r="BV68" s="310"/>
      <c r="BX68" s="9"/>
      <c r="CA68" s="10"/>
      <c r="CB68" s="10" t="e">
        <f>#REF!-#REF!</f>
        <v>#REF!</v>
      </c>
    </row>
    <row r="69" spans="3:80" ht="12.75" hidden="1" customHeight="1" x14ac:dyDescent="0.2">
      <c r="C69" s="9" t="s">
        <v>326</v>
      </c>
      <c r="E69" s="304"/>
      <c r="F69" s="322"/>
      <c r="G69" s="322"/>
      <c r="I69" s="150"/>
      <c r="K69" s="156"/>
      <c r="L69" s="156"/>
      <c r="N69" s="150"/>
      <c r="P69" s="156"/>
      <c r="Q69" s="156"/>
      <c r="S69" s="150"/>
      <c r="U69" s="156"/>
      <c r="V69" s="156"/>
      <c r="X69" s="150"/>
      <c r="Z69" s="156"/>
      <c r="AA69" s="156"/>
      <c r="AC69" s="150"/>
      <c r="AE69" s="156"/>
      <c r="AF69" s="156"/>
      <c r="AH69" s="150"/>
      <c r="AJ69" s="156"/>
      <c r="AK69" s="156"/>
      <c r="AM69" s="150"/>
      <c r="AO69" s="156"/>
      <c r="AP69" s="156"/>
      <c r="AR69" s="150"/>
      <c r="AT69" s="156"/>
      <c r="AU69" s="156"/>
      <c r="AW69" s="150"/>
      <c r="AY69" s="156"/>
      <c r="AZ69" s="156"/>
      <c r="BB69" s="150"/>
      <c r="BD69" s="156"/>
      <c r="BE69" s="156"/>
      <c r="BG69" s="150"/>
      <c r="BI69" s="156"/>
      <c r="BJ69" s="156"/>
      <c r="BL69" s="150"/>
      <c r="BN69" s="156"/>
      <c r="BO69" s="156"/>
      <c r="BQ69" s="150"/>
      <c r="BS69" s="156"/>
      <c r="BT69" s="156"/>
      <c r="BV69" s="150"/>
      <c r="BX69" s="9"/>
      <c r="CA69" s="10"/>
      <c r="CB69" s="10" t="e">
        <f>#REF!-#REF!</f>
        <v>#REF!</v>
      </c>
    </row>
    <row r="70" spans="3:80" ht="12.75" customHeight="1" x14ac:dyDescent="0.2">
      <c r="C70" s="9" t="s">
        <v>326</v>
      </c>
      <c r="E70" s="304"/>
      <c r="F70" s="322"/>
      <c r="G70" s="322"/>
      <c r="H70" s="1">
        <f>+[54]cashbalances!H23</f>
        <v>0</v>
      </c>
      <c r="I70" s="150"/>
      <c r="K70" s="156"/>
      <c r="L70" s="156"/>
      <c r="M70" s="1">
        <f>+[54]cashbalances!M23</f>
        <v>34143659</v>
      </c>
      <c r="N70" s="150"/>
      <c r="P70" s="156"/>
      <c r="Q70" s="156"/>
      <c r="R70" s="1">
        <f>+[54]cashbalances!R23</f>
        <v>-4349966</v>
      </c>
      <c r="S70" s="150"/>
      <c r="U70" s="156"/>
      <c r="V70" s="156"/>
      <c r="W70" s="1">
        <f>+[54]cashbalances!W23</f>
        <v>2527515</v>
      </c>
      <c r="X70" s="150"/>
      <c r="Z70" s="156"/>
      <c r="AA70" s="156"/>
      <c r="AB70" s="1">
        <f>+[54]cashbalances!AB23</f>
        <v>-24856159</v>
      </c>
      <c r="AC70" s="150"/>
      <c r="AE70" s="156"/>
      <c r="AF70" s="156"/>
      <c r="AG70" s="1">
        <f>+[54]cashbalances!AG23</f>
        <v>26866570</v>
      </c>
      <c r="AH70" s="150"/>
      <c r="AJ70" s="156"/>
      <c r="AK70" s="156"/>
      <c r="AL70" s="1">
        <f>+[54]cashbalances!AL23</f>
        <v>-5977613</v>
      </c>
      <c r="AM70" s="150"/>
      <c r="AO70" s="156"/>
      <c r="AP70" s="156"/>
      <c r="AQ70" s="1">
        <f>+[54]cashbalances!AQ23</f>
        <v>15416167</v>
      </c>
      <c r="AR70" s="150"/>
      <c r="AT70" s="156"/>
      <c r="AU70" s="156"/>
      <c r="AV70" s="1">
        <f>+[54]cashbalances!AV23</f>
        <v>-315227</v>
      </c>
      <c r="AW70" s="150"/>
      <c r="AY70" s="156"/>
      <c r="AZ70" s="156"/>
      <c r="BA70" s="1">
        <f>+[54]cashbalances!BA23</f>
        <v>-6539100</v>
      </c>
      <c r="BB70" s="150"/>
      <c r="BD70" s="156"/>
      <c r="BE70" s="156"/>
      <c r="BF70" s="1">
        <f>+[54]cashbalances!BF23</f>
        <v>59957836</v>
      </c>
      <c r="BG70" s="150"/>
      <c r="BI70" s="156"/>
      <c r="BJ70" s="156"/>
      <c r="BK70" s="1">
        <f>+[54]cashbalances!BK23</f>
        <v>0</v>
      </c>
      <c r="BL70" s="150"/>
      <c r="BN70" s="156"/>
      <c r="BO70" s="156"/>
      <c r="BP70" s="1">
        <f>+[54]cashbalances!BP23</f>
        <v>0</v>
      </c>
      <c r="BQ70" s="150"/>
      <c r="BS70" s="156"/>
      <c r="BT70" s="156"/>
      <c r="BU70" s="1">
        <f>+[54]cashbalances!BU23</f>
        <v>96873682</v>
      </c>
      <c r="BV70" s="150"/>
      <c r="BX70" s="9"/>
      <c r="CA70" s="10"/>
      <c r="CB70" s="10" t="e">
        <f>#REF!-#REF!</f>
        <v>#REF!</v>
      </c>
    </row>
    <row r="71" spans="3:80" ht="12.75" customHeight="1" x14ac:dyDescent="0.2">
      <c r="C71" s="148" t="s">
        <v>327</v>
      </c>
      <c r="E71" s="304"/>
      <c r="F71" s="322"/>
      <c r="G71" s="322"/>
      <c r="H71" s="1">
        <f>+[54]cashbalances!H25</f>
        <v>0</v>
      </c>
      <c r="I71" s="150"/>
      <c r="K71" s="156"/>
      <c r="L71" s="156"/>
      <c r="M71" s="1">
        <f>[54]cashbalances!M25</f>
        <v>0</v>
      </c>
      <c r="N71" s="150"/>
      <c r="P71" s="156"/>
      <c r="Q71" s="156"/>
      <c r="R71" s="1">
        <f>[54]cashbalances!R25</f>
        <v>0</v>
      </c>
      <c r="S71" s="150"/>
      <c r="U71" s="156"/>
      <c r="V71" s="156"/>
      <c r="W71" s="1">
        <f>[54]cashbalances!W25</f>
        <v>0</v>
      </c>
      <c r="X71" s="150"/>
      <c r="Z71" s="156"/>
      <c r="AA71" s="156"/>
      <c r="AB71" s="1">
        <f>[54]cashbalances!AB25</f>
        <v>0</v>
      </c>
      <c r="AC71" s="150"/>
      <c r="AE71" s="156"/>
      <c r="AF71" s="156"/>
      <c r="AG71" s="1">
        <f>[54]cashbalances!AG25</f>
        <v>0</v>
      </c>
      <c r="AH71" s="150"/>
      <c r="AJ71" s="156"/>
      <c r="AK71" s="156"/>
      <c r="AL71" s="1">
        <f>[54]cashbalances!AL25</f>
        <v>0</v>
      </c>
      <c r="AM71" s="150"/>
      <c r="AO71" s="156"/>
      <c r="AP71" s="156"/>
      <c r="AQ71" s="1">
        <f>[54]cashbalances!AQ25</f>
        <v>0</v>
      </c>
      <c r="AR71" s="150"/>
      <c r="AT71" s="156"/>
      <c r="AU71" s="156"/>
      <c r="AV71" s="1">
        <f>[54]cashbalances!AV25</f>
        <v>0</v>
      </c>
      <c r="AW71" s="150"/>
      <c r="AY71" s="156"/>
      <c r="AZ71" s="156"/>
      <c r="BA71" s="1">
        <f>[54]cashbalances!BA25</f>
        <v>0</v>
      </c>
      <c r="BB71" s="150"/>
      <c r="BD71" s="156"/>
      <c r="BE71" s="156"/>
      <c r="BF71" s="1">
        <f>[54]cashbalances!BF25</f>
        <v>0</v>
      </c>
      <c r="BG71" s="150"/>
      <c r="BI71" s="156"/>
      <c r="BJ71" s="156"/>
      <c r="BK71" s="1">
        <f>[54]cashbalances!BK25</f>
        <v>0</v>
      </c>
      <c r="BL71" s="150"/>
      <c r="BN71" s="156"/>
      <c r="BO71" s="156"/>
      <c r="BP71" s="1">
        <f>[54]cashbalances!BP25</f>
        <v>0</v>
      </c>
      <c r="BQ71" s="150"/>
      <c r="BS71" s="156"/>
      <c r="BT71" s="156"/>
      <c r="BU71" s="1">
        <f>[54]cashbalances!BU25</f>
        <v>0</v>
      </c>
      <c r="BV71" s="150"/>
      <c r="BX71" s="9"/>
      <c r="CA71" s="10"/>
      <c r="CB71" s="10" t="e">
        <f>#REF!-#REF!</f>
        <v>#REF!</v>
      </c>
    </row>
    <row r="72" spans="3:80" ht="12.75" customHeight="1" x14ac:dyDescent="0.2">
      <c r="C72" s="9" t="s">
        <v>328</v>
      </c>
      <c r="E72" s="304"/>
      <c r="F72" s="322"/>
      <c r="G72" s="322"/>
      <c r="H72" s="1">
        <f>+[54]cashbalances!H27</f>
        <v>7368043.66846109</v>
      </c>
      <c r="I72" s="150"/>
      <c r="K72" s="156"/>
      <c r="L72" s="156"/>
      <c r="M72" s="1">
        <f>+[54]cashbalances!M27</f>
        <v>0</v>
      </c>
      <c r="N72" s="150"/>
      <c r="P72" s="156"/>
      <c r="Q72" s="156"/>
      <c r="R72" s="1">
        <f>+[54]cashbalances!R27</f>
        <v>871744.25600000005</v>
      </c>
      <c r="S72" s="150"/>
      <c r="U72" s="156"/>
      <c r="V72" s="156"/>
      <c r="W72" s="1">
        <f>+[54]cashbalances!W27</f>
        <v>0</v>
      </c>
      <c r="X72" s="150"/>
      <c r="Z72" s="156"/>
      <c r="AA72" s="156"/>
      <c r="AB72" s="1">
        <f>+[54]cashbalances!AB27</f>
        <v>126224</v>
      </c>
      <c r="AC72" s="150"/>
      <c r="AE72" s="156"/>
      <c r="AF72" s="156"/>
      <c r="AG72" s="1">
        <f>+[54]cashbalances!AG27</f>
        <v>0</v>
      </c>
      <c r="AH72" s="150"/>
      <c r="AJ72" s="156"/>
      <c r="AK72" s="156"/>
      <c r="AL72" s="1">
        <f>+[54]cashbalances!AL27</f>
        <v>3836</v>
      </c>
      <c r="AM72" s="150"/>
      <c r="AO72" s="156"/>
      <c r="AP72" s="156"/>
      <c r="AQ72" s="1">
        <f>+[54]cashbalances!AQ27</f>
        <v>1831061</v>
      </c>
      <c r="AR72" s="150"/>
      <c r="AT72" s="156"/>
      <c r="AU72" s="156"/>
      <c r="AV72" s="1">
        <f>+[54]cashbalances!AV27</f>
        <v>2236273</v>
      </c>
      <c r="AW72" s="150"/>
      <c r="AY72" s="156"/>
      <c r="AZ72" s="156"/>
      <c r="BA72" s="1">
        <f>+[54]cashbalances!BA27</f>
        <v>1620990</v>
      </c>
      <c r="BB72" s="150"/>
      <c r="BD72" s="156"/>
      <c r="BE72" s="156"/>
      <c r="BF72" s="1">
        <f>+[54]cashbalances!BF27</f>
        <v>89678</v>
      </c>
      <c r="BG72" s="150"/>
      <c r="BI72" s="156"/>
      <c r="BJ72" s="156"/>
      <c r="BK72" s="1">
        <f>+[54]cashbalances!BK27</f>
        <v>0</v>
      </c>
      <c r="BL72" s="150"/>
      <c r="BN72" s="156"/>
      <c r="BO72" s="156"/>
      <c r="BP72" s="1">
        <f>+[54]cashbalances!BP27</f>
        <v>0</v>
      </c>
      <c r="BQ72" s="150"/>
      <c r="BS72" s="156"/>
      <c r="BT72" s="156"/>
      <c r="BU72" s="1">
        <f>+[54]cashbalances!BU27</f>
        <v>6779806.2560000001</v>
      </c>
      <c r="BV72" s="150"/>
      <c r="BX72" s="9"/>
      <c r="CA72" s="10"/>
      <c r="CB72" s="10" t="e">
        <f>#REF!-#REF!</f>
        <v>#REF!</v>
      </c>
    </row>
    <row r="73" spans="3:80" ht="12.75" customHeight="1" x14ac:dyDescent="0.2">
      <c r="C73" s="9" t="s">
        <v>329</v>
      </c>
      <c r="E73" s="304"/>
      <c r="F73" s="322"/>
      <c r="G73" s="322"/>
      <c r="H73" s="1">
        <f>+[54]cashbalances!H32</f>
        <v>0</v>
      </c>
      <c r="I73" s="150"/>
      <c r="K73" s="156"/>
      <c r="L73" s="156"/>
      <c r="M73" s="1">
        <f>+[54]cashbalances!M32</f>
        <v>0</v>
      </c>
      <c r="N73" s="150"/>
      <c r="P73" s="156"/>
      <c r="Q73" s="156"/>
      <c r="R73" s="1">
        <f>+[54]cashbalances!R32</f>
        <v>0</v>
      </c>
      <c r="S73" s="150"/>
      <c r="U73" s="156"/>
      <c r="V73" s="156"/>
      <c r="W73" s="1">
        <f>+[54]cashbalances!W32</f>
        <v>0</v>
      </c>
      <c r="X73" s="150"/>
      <c r="Z73" s="156"/>
      <c r="AA73" s="156"/>
      <c r="AB73" s="1">
        <f>+[54]cashbalances!AB32</f>
        <v>-22185</v>
      </c>
      <c r="AC73" s="150"/>
      <c r="AE73" s="156"/>
      <c r="AF73" s="156"/>
      <c r="AG73" s="1">
        <f>+[54]cashbalances!AG32</f>
        <v>0</v>
      </c>
      <c r="AH73" s="150"/>
      <c r="AJ73" s="156"/>
      <c r="AK73" s="156"/>
      <c r="AL73" s="1">
        <f>+[54]cashbalances!AL32</f>
        <v>0</v>
      </c>
      <c r="AM73" s="150"/>
      <c r="AO73" s="156"/>
      <c r="AP73" s="156"/>
      <c r="AQ73" s="1">
        <f>+[54]cashbalances!AQ32</f>
        <v>0</v>
      </c>
      <c r="AR73" s="150"/>
      <c r="AT73" s="156"/>
      <c r="AU73" s="156"/>
      <c r="AV73" s="1">
        <f>+[54]cashbalances!AV32</f>
        <v>0</v>
      </c>
      <c r="AW73" s="150"/>
      <c r="AY73" s="156"/>
      <c r="AZ73" s="156"/>
      <c r="BA73" s="1">
        <f>+[54]cashbalances!BA32</f>
        <v>0</v>
      </c>
      <c r="BB73" s="150"/>
      <c r="BD73" s="156"/>
      <c r="BE73" s="156"/>
      <c r="BF73" s="1">
        <f>+[54]cashbalances!BF32</f>
        <v>0</v>
      </c>
      <c r="BG73" s="150"/>
      <c r="BI73" s="156"/>
      <c r="BJ73" s="156"/>
      <c r="BK73" s="1">
        <f>+[54]cashbalances!BK32</f>
        <v>0</v>
      </c>
      <c r="BL73" s="150"/>
      <c r="BN73" s="156"/>
      <c r="BO73" s="156"/>
      <c r="BP73" s="1">
        <f>+[54]cashbalances!BP32</f>
        <v>0</v>
      </c>
      <c r="BQ73" s="150"/>
      <c r="BS73" s="156"/>
      <c r="BT73" s="156"/>
      <c r="BU73" s="1">
        <f>+[54]cashbalances!BU32</f>
        <v>-22185</v>
      </c>
      <c r="BV73" s="150"/>
      <c r="BX73" s="9"/>
      <c r="CA73" s="10"/>
      <c r="CB73" s="10" t="e">
        <f>#REF!-#REF!</f>
        <v>#REF!</v>
      </c>
    </row>
    <row r="74" spans="3:80" ht="12.75" hidden="1" customHeight="1" x14ac:dyDescent="0.2">
      <c r="C74" s="9" t="s">
        <v>330</v>
      </c>
      <c r="E74" s="304"/>
      <c r="F74" s="322"/>
      <c r="G74" s="322"/>
      <c r="I74" s="150"/>
      <c r="K74" s="156"/>
      <c r="L74" s="156"/>
      <c r="N74" s="150"/>
      <c r="P74" s="156"/>
      <c r="Q74" s="156"/>
      <c r="S74" s="150"/>
      <c r="U74" s="156"/>
      <c r="V74" s="156"/>
      <c r="X74" s="150"/>
      <c r="Z74" s="156"/>
      <c r="AA74" s="156"/>
      <c r="AC74" s="150"/>
      <c r="AE74" s="156"/>
      <c r="AF74" s="156"/>
      <c r="AH74" s="150"/>
      <c r="AJ74" s="156"/>
      <c r="AK74" s="156"/>
      <c r="AM74" s="150"/>
      <c r="AO74" s="156"/>
      <c r="AP74" s="156"/>
      <c r="AR74" s="150"/>
      <c r="AT74" s="156"/>
      <c r="AU74" s="156"/>
      <c r="AW74" s="150"/>
      <c r="AY74" s="156"/>
      <c r="AZ74" s="156"/>
      <c r="BB74" s="150"/>
      <c r="BD74" s="156"/>
      <c r="BE74" s="156"/>
      <c r="BG74" s="150"/>
      <c r="BI74" s="156"/>
      <c r="BJ74" s="156"/>
      <c r="BL74" s="150"/>
      <c r="BN74" s="156"/>
      <c r="BO74" s="156"/>
      <c r="BQ74" s="150"/>
      <c r="BS74" s="156"/>
      <c r="BT74" s="156"/>
      <c r="BV74" s="150"/>
      <c r="BX74" s="9"/>
      <c r="CA74" s="10"/>
      <c r="CB74" s="10" t="e">
        <f>#REF!-#REF!</f>
        <v>#REF!</v>
      </c>
    </row>
    <row r="75" spans="3:80" ht="12.75" customHeight="1" x14ac:dyDescent="0.2">
      <c r="C75" s="9" t="s">
        <v>330</v>
      </c>
      <c r="E75" s="304"/>
      <c r="F75" s="322"/>
      <c r="G75" s="336"/>
      <c r="H75" s="158">
        <f>+[54]cashbalances!H38</f>
        <v>0</v>
      </c>
      <c r="I75" s="162"/>
      <c r="K75" s="156"/>
      <c r="L75" s="320"/>
      <c r="M75" s="158">
        <f>+[54]cashbalances!M38</f>
        <v>-34158767.953769997</v>
      </c>
      <c r="N75" s="162"/>
      <c r="P75" s="156"/>
      <c r="Q75" s="320"/>
      <c r="R75" s="158">
        <f>+[54]cashbalances!R38</f>
        <v>665778.1075699823</v>
      </c>
      <c r="S75" s="162"/>
      <c r="U75" s="156"/>
      <c r="V75" s="320"/>
      <c r="W75" s="158">
        <f>+[54]cashbalances!W38</f>
        <v>-3529360.3766400218</v>
      </c>
      <c r="X75" s="162"/>
      <c r="Z75" s="156"/>
      <c r="AA75" s="320"/>
      <c r="AB75" s="158">
        <f>+[54]cashbalances!AB38</f>
        <v>39129472.039829999</v>
      </c>
      <c r="AC75" s="162"/>
      <c r="AE75" s="156"/>
      <c r="AF75" s="320"/>
      <c r="AG75" s="158">
        <f>+[54]cashbalances!AG38</f>
        <v>-36409361.543499991</v>
      </c>
      <c r="AH75" s="162"/>
      <c r="AJ75" s="156"/>
      <c r="AK75" s="320"/>
      <c r="AL75" s="158">
        <f>+[54]cashbalances!AL38</f>
        <v>10350561.970830038</v>
      </c>
      <c r="AM75" s="162"/>
      <c r="AO75" s="156"/>
      <c r="AP75" s="320"/>
      <c r="AQ75" s="158">
        <f>+[54]cashbalances!AQ38</f>
        <v>-13234789.152860001</v>
      </c>
      <c r="AR75" s="162"/>
      <c r="AT75" s="156"/>
      <c r="AU75" s="320"/>
      <c r="AV75" s="158">
        <f>+[54]cashbalances!AV38</f>
        <v>-507485.77358999848</v>
      </c>
      <c r="AW75" s="162"/>
      <c r="AY75" s="156"/>
      <c r="AZ75" s="320"/>
      <c r="BA75" s="158">
        <f>+[54]cashbalances!BA38</f>
        <v>5933754.2305000126</v>
      </c>
      <c r="BB75" s="162"/>
      <c r="BD75" s="156"/>
      <c r="BE75" s="320"/>
      <c r="BF75" s="158">
        <f>+[54]cashbalances!BF38</f>
        <v>-33766452.223689988</v>
      </c>
      <c r="BG75" s="162"/>
      <c r="BI75" s="156"/>
      <c r="BJ75" s="320"/>
      <c r="BK75" s="158">
        <f>+[54]cashbalances!BK38</f>
        <v>0</v>
      </c>
      <c r="BL75" s="162"/>
      <c r="BN75" s="156"/>
      <c r="BO75" s="320"/>
      <c r="BP75" s="158">
        <f>+[54]cashbalances!BP38</f>
        <v>0</v>
      </c>
      <c r="BQ75" s="162"/>
      <c r="BS75" s="156"/>
      <c r="BT75" s="320"/>
      <c r="BU75" s="158">
        <f>+[54]cashbalances!BU38</f>
        <v>-65526650.67531997</v>
      </c>
      <c r="BV75" s="162"/>
      <c r="BX75" s="9"/>
      <c r="CA75" s="10"/>
      <c r="CB75" s="10" t="e">
        <f>#REF!-#REF!</f>
        <v>#REF!</v>
      </c>
    </row>
    <row r="76" spans="3:80" x14ac:dyDescent="0.2">
      <c r="C76" s="9"/>
      <c r="E76" s="304"/>
      <c r="F76" s="322"/>
      <c r="G76" s="323"/>
      <c r="K76" s="156"/>
      <c r="P76" s="156"/>
      <c r="U76" s="156"/>
      <c r="Z76" s="156"/>
      <c r="AE76" s="156"/>
      <c r="AJ76" s="156"/>
      <c r="AO76" s="156"/>
      <c r="AT76" s="156"/>
      <c r="AY76" s="156"/>
      <c r="BD76" s="156"/>
      <c r="BI76" s="156"/>
      <c r="BN76" s="156"/>
      <c r="BS76" s="156"/>
      <c r="BX76" s="9"/>
      <c r="CA76" s="10"/>
      <c r="CB76" s="10" t="e">
        <f>#REF!-#REF!</f>
        <v>#REF!</v>
      </c>
    </row>
    <row r="77" spans="3:80" s="10" customFormat="1" x14ac:dyDescent="0.2">
      <c r="C77" s="337" t="s">
        <v>331</v>
      </c>
      <c r="D77" s="338"/>
      <c r="E77" s="305"/>
      <c r="F77" s="339"/>
      <c r="G77" s="340"/>
      <c r="H77" s="85">
        <f>+H13+H23+H44+H67</f>
        <v>707826711.66846108</v>
      </c>
      <c r="I77" s="85"/>
      <c r="J77" s="85"/>
      <c r="K77" s="341"/>
      <c r="L77" s="85"/>
      <c r="M77" s="85">
        <f>+M13+M23+M44+M67</f>
        <v>51156457.046230003</v>
      </c>
      <c r="N77" s="85"/>
      <c r="O77" s="85"/>
      <c r="P77" s="341"/>
      <c r="Q77" s="85"/>
      <c r="R77" s="85">
        <f>+R13+R23+R44+R67</f>
        <v>52369080.107569978</v>
      </c>
      <c r="S77" s="85"/>
      <c r="T77" s="85"/>
      <c r="U77" s="341"/>
      <c r="V77" s="85"/>
      <c r="W77" s="85">
        <f>+W13+W23+W44+W67</f>
        <v>22296182.623359978</v>
      </c>
      <c r="X77" s="85"/>
      <c r="Y77" s="85"/>
      <c r="Z77" s="341"/>
      <c r="AA77" s="85"/>
      <c r="AB77" s="85">
        <f>+AB13+AB23+AB44+AB67</f>
        <v>134529648.03983</v>
      </c>
      <c r="AC77" s="85"/>
      <c r="AD77" s="85"/>
      <c r="AE77" s="341"/>
      <c r="AF77" s="85"/>
      <c r="AG77" s="85">
        <f>+AG13+AG23+AG44+AG67</f>
        <v>63673793.456500009</v>
      </c>
      <c r="AH77" s="85"/>
      <c r="AI77" s="85"/>
      <c r="AJ77" s="341"/>
      <c r="AK77" s="85"/>
      <c r="AL77" s="85">
        <f>+AL13+AL23+AL44+AL67</f>
        <v>42866801.970830038</v>
      </c>
      <c r="AM77" s="85"/>
      <c r="AN77" s="85"/>
      <c r="AO77" s="341"/>
      <c r="AP77" s="85"/>
      <c r="AQ77" s="85">
        <f>+AQ13+AQ23+AQ44+AQ67</f>
        <v>49729127.847139999</v>
      </c>
      <c r="AR77" s="85"/>
      <c r="AS77" s="85"/>
      <c r="AT77" s="341"/>
      <c r="AU77" s="85"/>
      <c r="AV77" s="85">
        <f>+AV13+AV23+AV44+AV67</f>
        <v>21403285.226410002</v>
      </c>
      <c r="AW77" s="85"/>
      <c r="AX77" s="85"/>
      <c r="AY77" s="341"/>
      <c r="AZ77" s="85"/>
      <c r="BA77" s="85">
        <f>+BA13+BA23+BA44+BA67</f>
        <v>-5051318.7694999874</v>
      </c>
      <c r="BB77" s="85"/>
      <c r="BC77" s="85"/>
      <c r="BD77" s="341"/>
      <c r="BE77" s="85"/>
      <c r="BF77" s="85">
        <f>+BF13+BF23+BF44+BF67</f>
        <v>76235278.776310012</v>
      </c>
      <c r="BG77" s="85"/>
      <c r="BH77" s="85"/>
      <c r="BI77" s="341"/>
      <c r="BJ77" s="85"/>
      <c r="BK77" s="85">
        <f>+BK13+BK23+BK44+BK67</f>
        <v>378365248</v>
      </c>
      <c r="BL77" s="85"/>
      <c r="BM77" s="85"/>
      <c r="BN77" s="341"/>
      <c r="BO77" s="85"/>
      <c r="BP77" s="85">
        <f>+BP13+BP23+BP44+BP67</f>
        <v>0</v>
      </c>
      <c r="BQ77" s="85"/>
      <c r="BR77" s="85"/>
      <c r="BS77" s="341"/>
      <c r="BT77" s="85"/>
      <c r="BU77" s="85">
        <f>+BU13+BU23+BU44+BU67</f>
        <v>509208336.32467997</v>
      </c>
      <c r="BV77" s="85"/>
      <c r="BW77" s="85"/>
      <c r="BX77" s="79"/>
      <c r="CB77" s="10" t="e">
        <f>#REF!-#REF!</f>
        <v>#REF!</v>
      </c>
    </row>
    <row r="78" spans="3:80" ht="15" customHeight="1" x14ac:dyDescent="0.2">
      <c r="C78" s="342"/>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CB78" s="10" t="e">
        <f>#REF!-#REF!</f>
        <v>#REF!</v>
      </c>
    </row>
    <row r="79" spans="3:80" ht="5.25" customHeight="1" x14ac:dyDescent="0.2"/>
    <row r="80" spans="3:80" ht="15" customHeight="1" x14ac:dyDescent="0.2"/>
    <row r="81" spans="3:75" s="343" customFormat="1" ht="15" hidden="1" customHeight="1" x14ac:dyDescent="0.2">
      <c r="D81" s="344"/>
      <c r="AL81" s="345"/>
      <c r="BW81" s="10" t="e">
        <f>+BW82+BW89</f>
        <v>#REF!</v>
      </c>
    </row>
    <row r="82" spans="3:75" s="343" customFormat="1" ht="15" hidden="1" customHeight="1" x14ac:dyDescent="0.2">
      <c r="C82" s="233"/>
      <c r="D82" s="344"/>
      <c r="BW82" s="1" t="e">
        <f>SUM(BW83:BW87)</f>
        <v>#REF!</v>
      </c>
    </row>
    <row r="83" spans="3:75" ht="15" hidden="1" customHeight="1" x14ac:dyDescent="0.2">
      <c r="M83" s="1" t="e">
        <f>M13-#REF!</f>
        <v>#REF!</v>
      </c>
      <c r="N83" s="1" t="e">
        <f>N13-#REF!</f>
        <v>#REF!</v>
      </c>
      <c r="O83" s="1" t="e">
        <f>O13-#REF!</f>
        <v>#REF!</v>
      </c>
      <c r="P83" s="1" t="e">
        <f>P13-#REF!</f>
        <v>#REF!</v>
      </c>
      <c r="Q83" s="1" t="e">
        <f>Q13-#REF!</f>
        <v>#REF!</v>
      </c>
      <c r="R83" s="1" t="e">
        <f>R13-#REF!</f>
        <v>#REF!</v>
      </c>
      <c r="S83" s="1" t="e">
        <f>S13-#REF!</f>
        <v>#REF!</v>
      </c>
      <c r="T83" s="1" t="e">
        <f>T13-#REF!</f>
        <v>#REF!</v>
      </c>
      <c r="U83" s="1" t="e">
        <f>U13-#REF!</f>
        <v>#REF!</v>
      </c>
      <c r="V83" s="1" t="e">
        <f>V13-#REF!</f>
        <v>#REF!</v>
      </c>
      <c r="W83" s="1" t="e">
        <f>W13-#REF!</f>
        <v>#REF!</v>
      </c>
      <c r="X83" s="1" t="e">
        <f>X13-#REF!</f>
        <v>#REF!</v>
      </c>
      <c r="Y83" s="1" t="e">
        <f>Y13-#REF!</f>
        <v>#REF!</v>
      </c>
      <c r="Z83" s="1" t="e">
        <f>Z13-#REF!</f>
        <v>#REF!</v>
      </c>
      <c r="AA83" s="1" t="e">
        <f>AA13-#REF!</f>
        <v>#REF!</v>
      </c>
      <c r="AB83" s="1" t="e">
        <f>AB13-#REF!</f>
        <v>#REF!</v>
      </c>
      <c r="AC83" s="1" t="e">
        <f>AC13-#REF!</f>
        <v>#REF!</v>
      </c>
      <c r="AD83" s="1" t="e">
        <f>AD13-#REF!</f>
        <v>#REF!</v>
      </c>
      <c r="AE83" s="1" t="e">
        <f>AE13-#REF!</f>
        <v>#REF!</v>
      </c>
      <c r="AF83" s="1" t="e">
        <f>AF13-#REF!</f>
        <v>#REF!</v>
      </c>
      <c r="AG83" s="1" t="e">
        <f>AG13-#REF!</f>
        <v>#REF!</v>
      </c>
      <c r="AH83" s="1" t="e">
        <f>AH13-#REF!</f>
        <v>#REF!</v>
      </c>
      <c r="AI83" s="1" t="e">
        <f>AI13-#REF!</f>
        <v>#REF!</v>
      </c>
      <c r="AJ83" s="1" t="e">
        <f>AJ13-#REF!</f>
        <v>#REF!</v>
      </c>
      <c r="AK83" s="1" t="e">
        <f>AK13-#REF!</f>
        <v>#REF!</v>
      </c>
      <c r="AL83" s="1" t="e">
        <f>AL13-#REF!</f>
        <v>#REF!</v>
      </c>
      <c r="AM83" s="1" t="e">
        <f>AM13-#REF!</f>
        <v>#REF!</v>
      </c>
      <c r="AN83" s="1" t="e">
        <f>AN13-#REF!</f>
        <v>#REF!</v>
      </c>
      <c r="AO83" s="1" t="e">
        <f>AO13-#REF!</f>
        <v>#REF!</v>
      </c>
      <c r="AP83" s="1" t="e">
        <f>AP13-#REF!</f>
        <v>#REF!</v>
      </c>
      <c r="AQ83" s="1" t="e">
        <f>AQ13-#REF!</f>
        <v>#REF!</v>
      </c>
      <c r="AR83" s="1" t="e">
        <f>AR13-#REF!</f>
        <v>#REF!</v>
      </c>
      <c r="AS83" s="1" t="e">
        <f>AS13-#REF!</f>
        <v>#REF!</v>
      </c>
      <c r="AT83" s="1" t="e">
        <f>AT13-#REF!</f>
        <v>#REF!</v>
      </c>
      <c r="AU83" s="1" t="e">
        <f>AU13-#REF!</f>
        <v>#REF!</v>
      </c>
      <c r="AV83" s="1" t="e">
        <f>AV13-#REF!</f>
        <v>#REF!</v>
      </c>
      <c r="AW83" s="1" t="e">
        <f>AW13-#REF!</f>
        <v>#REF!</v>
      </c>
      <c r="AX83" s="1" t="e">
        <f>AX13-#REF!</f>
        <v>#REF!</v>
      </c>
      <c r="AY83" s="1" t="e">
        <f>AY13-#REF!</f>
        <v>#REF!</v>
      </c>
      <c r="AZ83" s="1" t="e">
        <f>AZ13-#REF!</f>
        <v>#REF!</v>
      </c>
      <c r="BA83" s="1" t="e">
        <f>BA13-#REF!</f>
        <v>#REF!</v>
      </c>
      <c r="BB83" s="1" t="e">
        <f>BB13-#REF!</f>
        <v>#REF!</v>
      </c>
      <c r="BC83" s="1" t="e">
        <f>BC13-#REF!</f>
        <v>#REF!</v>
      </c>
      <c r="BD83" s="1" t="e">
        <f>BD13-#REF!</f>
        <v>#REF!</v>
      </c>
      <c r="BE83" s="1" t="e">
        <f>BE13-#REF!</f>
        <v>#REF!</v>
      </c>
      <c r="BF83" s="1" t="e">
        <f>BF13-#REF!</f>
        <v>#REF!</v>
      </c>
      <c r="BG83" s="1" t="e">
        <f>BG13-#REF!</f>
        <v>#REF!</v>
      </c>
      <c r="BH83" s="1" t="e">
        <f>BH13-#REF!</f>
        <v>#REF!</v>
      </c>
      <c r="BI83" s="1" t="e">
        <f>BI13-#REF!</f>
        <v>#REF!</v>
      </c>
      <c r="BJ83" s="1" t="e">
        <f>BJ13-#REF!</f>
        <v>#REF!</v>
      </c>
      <c r="BK83" s="1" t="e">
        <f>BK13-#REF!</f>
        <v>#REF!</v>
      </c>
      <c r="BL83" s="1" t="e">
        <f>BL13-#REF!</f>
        <v>#REF!</v>
      </c>
      <c r="BM83" s="1" t="e">
        <f>BM13-#REF!</f>
        <v>#REF!</v>
      </c>
      <c r="BN83" s="1" t="e">
        <f>BN13-#REF!</f>
        <v>#REF!</v>
      </c>
      <c r="BO83" s="1" t="e">
        <f>BO13-#REF!</f>
        <v>#REF!</v>
      </c>
      <c r="BP83" s="1" t="e">
        <f>BP13-#REF!</f>
        <v>#REF!</v>
      </c>
      <c r="BQ83" s="1" t="e">
        <f>BQ13-#REF!</f>
        <v>#REF!</v>
      </c>
      <c r="BR83" s="1" t="e">
        <f>BR13-#REF!</f>
        <v>#REF!</v>
      </c>
      <c r="BS83" s="1" t="e">
        <f>BS13-#REF!</f>
        <v>#REF!</v>
      </c>
      <c r="BT83" s="1" t="e">
        <f>BT13-#REF!</f>
        <v>#REF!</v>
      </c>
      <c r="BU83" s="1" t="e">
        <f>BU13-#REF!</f>
        <v>#REF!</v>
      </c>
      <c r="BW83" s="1" t="e">
        <f>SUM(O83:BR83)</f>
        <v>#REF!</v>
      </c>
    </row>
    <row r="84" spans="3:75" ht="15" hidden="1" customHeight="1" x14ac:dyDescent="0.2">
      <c r="C84" s="346"/>
      <c r="H84" s="347"/>
      <c r="M84" s="1" t="e">
        <f>M14-#REF!</f>
        <v>#REF!</v>
      </c>
      <c r="N84" s="1" t="e">
        <f>N14-#REF!</f>
        <v>#REF!</v>
      </c>
      <c r="O84" s="1" t="e">
        <f>O14-#REF!</f>
        <v>#REF!</v>
      </c>
      <c r="P84" s="1" t="e">
        <f>P14-#REF!</f>
        <v>#REF!</v>
      </c>
      <c r="Q84" s="1" t="e">
        <f>Q14-#REF!</f>
        <v>#REF!</v>
      </c>
      <c r="R84" s="1" t="e">
        <f>R14-#REF!</f>
        <v>#REF!</v>
      </c>
      <c r="S84" s="1" t="e">
        <f>S14-#REF!</f>
        <v>#REF!</v>
      </c>
      <c r="T84" s="1" t="e">
        <f>T14-#REF!</f>
        <v>#REF!</v>
      </c>
      <c r="U84" s="1" t="e">
        <f>U14-#REF!</f>
        <v>#REF!</v>
      </c>
      <c r="V84" s="1" t="e">
        <f>V14-#REF!</f>
        <v>#REF!</v>
      </c>
      <c r="W84" s="1" t="e">
        <f>W14-#REF!</f>
        <v>#REF!</v>
      </c>
      <c r="X84" s="1" t="e">
        <f>X14-#REF!</f>
        <v>#REF!</v>
      </c>
      <c r="Y84" s="1" t="e">
        <f>Y14-#REF!</f>
        <v>#REF!</v>
      </c>
      <c r="Z84" s="1" t="e">
        <f>Z14-#REF!</f>
        <v>#REF!</v>
      </c>
      <c r="AA84" s="1" t="e">
        <f>AA14-#REF!</f>
        <v>#REF!</v>
      </c>
      <c r="AB84" s="1" t="e">
        <f>AB14-#REF!</f>
        <v>#REF!</v>
      </c>
      <c r="AC84" s="1" t="e">
        <f>AC14-#REF!</f>
        <v>#REF!</v>
      </c>
      <c r="AD84" s="1" t="e">
        <f>AD14-#REF!</f>
        <v>#REF!</v>
      </c>
      <c r="AE84" s="1" t="e">
        <f>AE14-#REF!</f>
        <v>#REF!</v>
      </c>
      <c r="AF84" s="1" t="e">
        <f>AF14-#REF!</f>
        <v>#REF!</v>
      </c>
      <c r="AG84" s="1" t="e">
        <f>AG14-#REF!</f>
        <v>#REF!</v>
      </c>
      <c r="AH84" s="1" t="e">
        <f>AH14-#REF!</f>
        <v>#REF!</v>
      </c>
      <c r="AI84" s="1" t="e">
        <f>AI14-#REF!</f>
        <v>#REF!</v>
      </c>
      <c r="AJ84" s="1" t="e">
        <f>AJ14-#REF!</f>
        <v>#REF!</v>
      </c>
      <c r="AK84" s="1" t="e">
        <f>AK14-#REF!</f>
        <v>#REF!</v>
      </c>
      <c r="AL84" s="1" t="e">
        <f>AL14-#REF!</f>
        <v>#REF!</v>
      </c>
      <c r="AM84" s="1" t="e">
        <f>AM14-#REF!</f>
        <v>#REF!</v>
      </c>
      <c r="AN84" s="1" t="e">
        <f>AN14-#REF!</f>
        <v>#REF!</v>
      </c>
      <c r="AO84" s="1" t="e">
        <f>AO14-#REF!</f>
        <v>#REF!</v>
      </c>
      <c r="AP84" s="1" t="e">
        <f>AP14-#REF!</f>
        <v>#REF!</v>
      </c>
      <c r="AQ84" s="1" t="e">
        <f>AQ14-#REF!</f>
        <v>#REF!</v>
      </c>
      <c r="AR84" s="1" t="e">
        <f>AR14-#REF!</f>
        <v>#REF!</v>
      </c>
      <c r="AS84" s="1" t="e">
        <f>AS14-#REF!</f>
        <v>#REF!</v>
      </c>
      <c r="AT84" s="1" t="e">
        <f>AT14-#REF!</f>
        <v>#REF!</v>
      </c>
      <c r="AU84" s="1" t="e">
        <f>AU14-#REF!</f>
        <v>#REF!</v>
      </c>
      <c r="AV84" s="1" t="e">
        <f>AV14-#REF!</f>
        <v>#REF!</v>
      </c>
      <c r="AW84" s="1" t="e">
        <f>AW14-#REF!</f>
        <v>#REF!</v>
      </c>
      <c r="AX84" s="1" t="e">
        <f>AX14-#REF!</f>
        <v>#REF!</v>
      </c>
      <c r="AY84" s="1" t="e">
        <f>AY14-#REF!</f>
        <v>#REF!</v>
      </c>
      <c r="AZ84" s="1" t="e">
        <f>AZ14-#REF!</f>
        <v>#REF!</v>
      </c>
      <c r="BA84" s="1" t="e">
        <f>BA14-#REF!</f>
        <v>#REF!</v>
      </c>
      <c r="BB84" s="1" t="e">
        <f>BB14-#REF!</f>
        <v>#REF!</v>
      </c>
      <c r="BC84" s="1" t="e">
        <f>BC14-#REF!</f>
        <v>#REF!</v>
      </c>
      <c r="BD84" s="1" t="e">
        <f>BD14-#REF!</f>
        <v>#REF!</v>
      </c>
      <c r="BE84" s="1" t="e">
        <f>BE14-#REF!</f>
        <v>#REF!</v>
      </c>
      <c r="BF84" s="1" t="e">
        <f>BF14-#REF!</f>
        <v>#REF!</v>
      </c>
      <c r="BG84" s="1" t="e">
        <f>BG14-#REF!</f>
        <v>#REF!</v>
      </c>
      <c r="BH84" s="1" t="e">
        <f>BH14-#REF!</f>
        <v>#REF!</v>
      </c>
      <c r="BI84" s="1" t="e">
        <f>BI14-#REF!</f>
        <v>#REF!</v>
      </c>
      <c r="BJ84" s="1" t="e">
        <f>BJ14-#REF!</f>
        <v>#REF!</v>
      </c>
      <c r="BK84" s="1" t="e">
        <f>BK14-#REF!</f>
        <v>#REF!</v>
      </c>
      <c r="BL84" s="1" t="e">
        <f>BL14-#REF!</f>
        <v>#REF!</v>
      </c>
      <c r="BM84" s="1" t="e">
        <f>BM14-#REF!</f>
        <v>#REF!</v>
      </c>
      <c r="BN84" s="1" t="e">
        <f>BN14-#REF!</f>
        <v>#REF!</v>
      </c>
      <c r="BO84" s="1" t="e">
        <f>BO14-#REF!</f>
        <v>#REF!</v>
      </c>
      <c r="BP84" s="1" t="e">
        <f>BP14-#REF!</f>
        <v>#REF!</v>
      </c>
      <c r="BQ84" s="1" t="e">
        <f>BQ14-#REF!</f>
        <v>#REF!</v>
      </c>
      <c r="BR84" s="1" t="e">
        <f>BR14-#REF!</f>
        <v>#REF!</v>
      </c>
      <c r="BS84" s="1" t="e">
        <f>BS14-#REF!</f>
        <v>#REF!</v>
      </c>
      <c r="BT84" s="1" t="e">
        <f>BT14-#REF!</f>
        <v>#REF!</v>
      </c>
      <c r="BU84" s="1" t="e">
        <f>BU14-#REF!</f>
        <v>#REF!</v>
      </c>
      <c r="BW84" s="1" t="e">
        <f>SUM(O84:BR84)</f>
        <v>#REF!</v>
      </c>
    </row>
    <row r="85" spans="3:75" ht="15" hidden="1" customHeight="1" x14ac:dyDescent="0.2">
      <c r="M85" s="1" t="e">
        <f>M15-#REF!</f>
        <v>#REF!</v>
      </c>
      <c r="N85" s="1" t="e">
        <f>N15-#REF!</f>
        <v>#REF!</v>
      </c>
      <c r="O85" s="1" t="e">
        <f>O15-#REF!</f>
        <v>#REF!</v>
      </c>
      <c r="P85" s="1" t="e">
        <f>P15-#REF!</f>
        <v>#REF!</v>
      </c>
      <c r="Q85" s="1" t="e">
        <f>Q15-#REF!</f>
        <v>#REF!</v>
      </c>
      <c r="R85" s="1" t="e">
        <f>R15-#REF!</f>
        <v>#REF!</v>
      </c>
      <c r="S85" s="1" t="e">
        <f>S15-#REF!</f>
        <v>#REF!</v>
      </c>
      <c r="T85" s="1" t="e">
        <f>T15-#REF!</f>
        <v>#REF!</v>
      </c>
      <c r="U85" s="1" t="e">
        <f>U15-#REF!</f>
        <v>#REF!</v>
      </c>
      <c r="V85" s="1" t="e">
        <f>V15-#REF!</f>
        <v>#REF!</v>
      </c>
      <c r="W85" s="1" t="e">
        <f>W15-#REF!</f>
        <v>#REF!</v>
      </c>
      <c r="X85" s="1" t="e">
        <f>X15-#REF!</f>
        <v>#REF!</v>
      </c>
      <c r="Y85" s="1" t="e">
        <f>Y15-#REF!</f>
        <v>#REF!</v>
      </c>
      <c r="Z85" s="1" t="e">
        <f>Z15-#REF!</f>
        <v>#REF!</v>
      </c>
      <c r="AA85" s="1" t="e">
        <f>AA15-#REF!</f>
        <v>#REF!</v>
      </c>
      <c r="AB85" s="1" t="e">
        <f>AB15-#REF!</f>
        <v>#REF!</v>
      </c>
      <c r="AC85" s="1" t="e">
        <f>AC15-#REF!</f>
        <v>#REF!</v>
      </c>
      <c r="AD85" s="1" t="e">
        <f>AD15-#REF!</f>
        <v>#REF!</v>
      </c>
      <c r="AE85" s="1" t="e">
        <f>AE15-#REF!</f>
        <v>#REF!</v>
      </c>
      <c r="AF85" s="1" t="e">
        <f>AF15-#REF!</f>
        <v>#REF!</v>
      </c>
      <c r="AG85" s="1" t="e">
        <f>AG15-#REF!</f>
        <v>#REF!</v>
      </c>
      <c r="AH85" s="1" t="e">
        <f>AH15-#REF!</f>
        <v>#REF!</v>
      </c>
      <c r="AI85" s="1" t="e">
        <f>AI15-#REF!</f>
        <v>#REF!</v>
      </c>
      <c r="AJ85" s="1" t="e">
        <f>AJ15-#REF!</f>
        <v>#REF!</v>
      </c>
      <c r="AK85" s="1" t="e">
        <f>AK15-#REF!</f>
        <v>#REF!</v>
      </c>
      <c r="AL85" s="1" t="e">
        <f>AL15-#REF!</f>
        <v>#REF!</v>
      </c>
      <c r="AM85" s="1" t="e">
        <f>AM15-#REF!</f>
        <v>#REF!</v>
      </c>
      <c r="AN85" s="1" t="e">
        <f>AN15-#REF!</f>
        <v>#REF!</v>
      </c>
      <c r="AO85" s="1" t="e">
        <f>AO15-#REF!</f>
        <v>#REF!</v>
      </c>
      <c r="AP85" s="1" t="e">
        <f>AP15-#REF!</f>
        <v>#REF!</v>
      </c>
      <c r="AQ85" s="1" t="e">
        <f>AQ15-#REF!</f>
        <v>#REF!</v>
      </c>
      <c r="AR85" s="1" t="e">
        <f>AR15-#REF!</f>
        <v>#REF!</v>
      </c>
      <c r="AS85" s="1" t="e">
        <f>AS15-#REF!</f>
        <v>#REF!</v>
      </c>
      <c r="AT85" s="1" t="e">
        <f>AT15-#REF!</f>
        <v>#REF!</v>
      </c>
      <c r="AU85" s="1" t="e">
        <f>AU15-#REF!</f>
        <v>#REF!</v>
      </c>
      <c r="AV85" s="1" t="e">
        <f>AV15-#REF!</f>
        <v>#REF!</v>
      </c>
      <c r="AW85" s="1" t="e">
        <f>AW15-#REF!</f>
        <v>#REF!</v>
      </c>
      <c r="AX85" s="1" t="e">
        <f>AX15-#REF!</f>
        <v>#REF!</v>
      </c>
      <c r="AY85" s="1" t="e">
        <f>AY15-#REF!</f>
        <v>#REF!</v>
      </c>
      <c r="AZ85" s="1" t="e">
        <f>AZ15-#REF!</f>
        <v>#REF!</v>
      </c>
      <c r="BA85" s="1" t="e">
        <f>BA15-#REF!</f>
        <v>#REF!</v>
      </c>
      <c r="BB85" s="1" t="e">
        <f>BB15-#REF!</f>
        <v>#REF!</v>
      </c>
      <c r="BC85" s="1" t="e">
        <f>BC15-#REF!</f>
        <v>#REF!</v>
      </c>
      <c r="BD85" s="1" t="e">
        <f>BD15-#REF!</f>
        <v>#REF!</v>
      </c>
      <c r="BE85" s="1" t="e">
        <f>BE15-#REF!</f>
        <v>#REF!</v>
      </c>
      <c r="BF85" s="1" t="e">
        <f>BF15-#REF!</f>
        <v>#REF!</v>
      </c>
      <c r="BG85" s="1" t="e">
        <f>BG15-#REF!</f>
        <v>#REF!</v>
      </c>
      <c r="BH85" s="1" t="e">
        <f>BH15-#REF!</f>
        <v>#REF!</v>
      </c>
      <c r="BI85" s="1" t="e">
        <f>BI15-#REF!</f>
        <v>#REF!</v>
      </c>
      <c r="BJ85" s="1" t="e">
        <f>BJ15-#REF!</f>
        <v>#REF!</v>
      </c>
      <c r="BK85" s="1" t="e">
        <f>BK15-#REF!</f>
        <v>#REF!</v>
      </c>
      <c r="BL85" s="1" t="e">
        <f>BL15-#REF!</f>
        <v>#REF!</v>
      </c>
      <c r="BM85" s="1" t="e">
        <f>BM15-#REF!</f>
        <v>#REF!</v>
      </c>
      <c r="BN85" s="1" t="e">
        <f>BN15-#REF!</f>
        <v>#REF!</v>
      </c>
      <c r="BO85" s="1" t="e">
        <f>BO15-#REF!</f>
        <v>#REF!</v>
      </c>
      <c r="BP85" s="1" t="e">
        <f>BP15-#REF!</f>
        <v>#REF!</v>
      </c>
      <c r="BQ85" s="1" t="e">
        <f>BQ15-#REF!</f>
        <v>#REF!</v>
      </c>
      <c r="BR85" s="1" t="e">
        <f>BR15-#REF!</f>
        <v>#REF!</v>
      </c>
      <c r="BS85" s="1" t="e">
        <f>BS15-#REF!</f>
        <v>#REF!</v>
      </c>
      <c r="BT85" s="1" t="e">
        <f>BT15-#REF!</f>
        <v>#REF!</v>
      </c>
      <c r="BU85" s="1" t="e">
        <f>BU15-#REF!</f>
        <v>#REF!</v>
      </c>
      <c r="BW85" s="1" t="e">
        <f>SUM(O85:BR85)</f>
        <v>#REF!</v>
      </c>
    </row>
    <row r="86" spans="3:75" ht="15" hidden="1" customHeight="1" x14ac:dyDescent="0.2">
      <c r="M86" s="1" t="e">
        <f>M16-#REF!</f>
        <v>#REF!</v>
      </c>
      <c r="N86" s="1" t="e">
        <f>N16-#REF!</f>
        <v>#REF!</v>
      </c>
      <c r="O86" s="1" t="e">
        <f>O16-#REF!</f>
        <v>#REF!</v>
      </c>
      <c r="P86" s="1" t="e">
        <f>P16-#REF!</f>
        <v>#REF!</v>
      </c>
      <c r="Q86" s="1" t="e">
        <f>Q16-#REF!</f>
        <v>#REF!</v>
      </c>
      <c r="R86" s="1" t="e">
        <f>R16-#REF!</f>
        <v>#REF!</v>
      </c>
      <c r="S86" s="1" t="e">
        <f>S16-#REF!</f>
        <v>#REF!</v>
      </c>
      <c r="T86" s="1" t="e">
        <f>T16-#REF!</f>
        <v>#REF!</v>
      </c>
      <c r="U86" s="1" t="e">
        <f>U16-#REF!</f>
        <v>#REF!</v>
      </c>
      <c r="V86" s="1" t="e">
        <f>V16-#REF!</f>
        <v>#REF!</v>
      </c>
      <c r="W86" s="1" t="e">
        <f>W16-#REF!</f>
        <v>#REF!</v>
      </c>
      <c r="X86" s="1" t="e">
        <f>X16-#REF!</f>
        <v>#REF!</v>
      </c>
      <c r="Y86" s="1" t="e">
        <f>Y16-#REF!</f>
        <v>#REF!</v>
      </c>
      <c r="Z86" s="1" t="e">
        <f>Z16-#REF!</f>
        <v>#REF!</v>
      </c>
      <c r="AA86" s="1" t="e">
        <f>AA16-#REF!</f>
        <v>#REF!</v>
      </c>
      <c r="AB86" s="1" t="e">
        <f>AB16-#REF!</f>
        <v>#REF!</v>
      </c>
      <c r="AC86" s="1" t="e">
        <f>AC16-#REF!</f>
        <v>#REF!</v>
      </c>
      <c r="AD86" s="1" t="e">
        <f>AD16-#REF!</f>
        <v>#REF!</v>
      </c>
      <c r="AE86" s="1" t="e">
        <f>AE16-#REF!</f>
        <v>#REF!</v>
      </c>
      <c r="AF86" s="1" t="e">
        <f>AF16-#REF!</f>
        <v>#REF!</v>
      </c>
      <c r="AG86" s="1" t="e">
        <f>AG16-#REF!</f>
        <v>#REF!</v>
      </c>
      <c r="AH86" s="1" t="e">
        <f>AH16-#REF!</f>
        <v>#REF!</v>
      </c>
      <c r="AI86" s="1" t="e">
        <f>AI16-#REF!</f>
        <v>#REF!</v>
      </c>
      <c r="AJ86" s="1" t="e">
        <f>AJ16-#REF!</f>
        <v>#REF!</v>
      </c>
      <c r="AK86" s="1" t="e">
        <f>AK16-#REF!</f>
        <v>#REF!</v>
      </c>
      <c r="AL86" s="1" t="e">
        <f>AL16-#REF!</f>
        <v>#REF!</v>
      </c>
      <c r="AM86" s="1" t="e">
        <f>AM16-#REF!</f>
        <v>#REF!</v>
      </c>
      <c r="AN86" s="1" t="e">
        <f>AN16-#REF!</f>
        <v>#REF!</v>
      </c>
      <c r="AO86" s="1" t="e">
        <f>AO16-#REF!</f>
        <v>#REF!</v>
      </c>
      <c r="AP86" s="1" t="e">
        <f>AP16-#REF!</f>
        <v>#REF!</v>
      </c>
      <c r="AQ86" s="1" t="e">
        <f>AQ16-#REF!</f>
        <v>#REF!</v>
      </c>
      <c r="AR86" s="1" t="e">
        <f>AR16-#REF!</f>
        <v>#REF!</v>
      </c>
      <c r="AS86" s="1" t="e">
        <f>AS16-#REF!</f>
        <v>#REF!</v>
      </c>
      <c r="AT86" s="1" t="e">
        <f>AT16-#REF!</f>
        <v>#REF!</v>
      </c>
      <c r="AU86" s="1" t="e">
        <f>AU16-#REF!</f>
        <v>#REF!</v>
      </c>
      <c r="AV86" s="1" t="e">
        <f>AV16-#REF!</f>
        <v>#REF!</v>
      </c>
      <c r="AW86" s="1" t="e">
        <f>AW16-#REF!</f>
        <v>#REF!</v>
      </c>
      <c r="AX86" s="1" t="e">
        <f>AX16-#REF!</f>
        <v>#REF!</v>
      </c>
      <c r="AY86" s="1" t="e">
        <f>AY16-#REF!</f>
        <v>#REF!</v>
      </c>
      <c r="AZ86" s="1" t="e">
        <f>AZ16-#REF!</f>
        <v>#REF!</v>
      </c>
      <c r="BA86" s="1" t="e">
        <f>BA16-#REF!</f>
        <v>#REF!</v>
      </c>
      <c r="BB86" s="1" t="e">
        <f>BB16-#REF!</f>
        <v>#REF!</v>
      </c>
      <c r="BC86" s="1" t="e">
        <f>BC16-#REF!</f>
        <v>#REF!</v>
      </c>
      <c r="BD86" s="1" t="e">
        <f>BD16-#REF!</f>
        <v>#REF!</v>
      </c>
      <c r="BE86" s="1" t="e">
        <f>BE16-#REF!</f>
        <v>#REF!</v>
      </c>
      <c r="BF86" s="1" t="e">
        <f>BF16-#REF!</f>
        <v>#REF!</v>
      </c>
      <c r="BG86" s="1" t="e">
        <f>BG16-#REF!</f>
        <v>#REF!</v>
      </c>
      <c r="BH86" s="1" t="e">
        <f>BH16-#REF!</f>
        <v>#REF!</v>
      </c>
      <c r="BI86" s="1" t="e">
        <f>BI16-#REF!</f>
        <v>#REF!</v>
      </c>
      <c r="BJ86" s="1" t="e">
        <f>BJ16-#REF!</f>
        <v>#REF!</v>
      </c>
      <c r="BK86" s="1" t="e">
        <f>BK16-#REF!</f>
        <v>#REF!</v>
      </c>
      <c r="BL86" s="1" t="e">
        <f>BL16-#REF!</f>
        <v>#REF!</v>
      </c>
      <c r="BM86" s="1" t="e">
        <f>BM16-#REF!</f>
        <v>#REF!</v>
      </c>
      <c r="BN86" s="1" t="e">
        <f>BN16-#REF!</f>
        <v>#REF!</v>
      </c>
      <c r="BO86" s="1" t="e">
        <f>BO16-#REF!</f>
        <v>#REF!</v>
      </c>
      <c r="BP86" s="1" t="e">
        <f>BP16-#REF!</f>
        <v>#REF!</v>
      </c>
      <c r="BQ86" s="1" t="e">
        <f>BQ16-#REF!</f>
        <v>#REF!</v>
      </c>
      <c r="BR86" s="1" t="e">
        <f>BR16-#REF!</f>
        <v>#REF!</v>
      </c>
      <c r="BS86" s="1" t="e">
        <f>BS16-#REF!</f>
        <v>#REF!</v>
      </c>
      <c r="BT86" s="1" t="e">
        <f>BT16-#REF!</f>
        <v>#REF!</v>
      </c>
      <c r="BU86" s="1" t="e">
        <f>BU16-#REF!</f>
        <v>#REF!</v>
      </c>
    </row>
    <row r="87" spans="3:75" ht="15" hidden="1" customHeight="1" x14ac:dyDescent="0.2">
      <c r="M87" s="1" t="e">
        <f>M17-#REF!</f>
        <v>#REF!</v>
      </c>
      <c r="N87" s="1" t="e">
        <f>N17-#REF!</f>
        <v>#REF!</v>
      </c>
      <c r="O87" s="1" t="e">
        <f>O17-#REF!</f>
        <v>#REF!</v>
      </c>
      <c r="P87" s="1" t="e">
        <f>P17-#REF!</f>
        <v>#REF!</v>
      </c>
      <c r="Q87" s="1" t="e">
        <f>Q17-#REF!</f>
        <v>#REF!</v>
      </c>
      <c r="R87" s="1" t="e">
        <f>R17-#REF!</f>
        <v>#REF!</v>
      </c>
      <c r="S87" s="1" t="e">
        <f>S17-#REF!</f>
        <v>#REF!</v>
      </c>
      <c r="T87" s="1" t="e">
        <f>T17-#REF!</f>
        <v>#REF!</v>
      </c>
      <c r="U87" s="1" t="e">
        <f>U17-#REF!</f>
        <v>#REF!</v>
      </c>
      <c r="V87" s="1" t="e">
        <f>V17-#REF!</f>
        <v>#REF!</v>
      </c>
      <c r="W87" s="1" t="e">
        <f>W17-#REF!</f>
        <v>#REF!</v>
      </c>
      <c r="X87" s="1" t="e">
        <f>X17-#REF!</f>
        <v>#REF!</v>
      </c>
      <c r="Y87" s="1" t="e">
        <f>Y17-#REF!</f>
        <v>#REF!</v>
      </c>
      <c r="Z87" s="1" t="e">
        <f>Z17-#REF!</f>
        <v>#REF!</v>
      </c>
      <c r="AA87" s="1" t="e">
        <f>AA17-#REF!</f>
        <v>#REF!</v>
      </c>
      <c r="AB87" s="1" t="e">
        <f>AB17-#REF!</f>
        <v>#REF!</v>
      </c>
      <c r="AC87" s="1" t="e">
        <f>AC17-#REF!</f>
        <v>#REF!</v>
      </c>
      <c r="AD87" s="1" t="e">
        <f>AD17-#REF!</f>
        <v>#REF!</v>
      </c>
      <c r="AE87" s="1" t="e">
        <f>AE17-#REF!</f>
        <v>#REF!</v>
      </c>
      <c r="AF87" s="1" t="e">
        <f>AF17-#REF!</f>
        <v>#REF!</v>
      </c>
      <c r="AG87" s="1" t="e">
        <f>AG17-#REF!</f>
        <v>#REF!</v>
      </c>
      <c r="AH87" s="1" t="e">
        <f>AH17-#REF!</f>
        <v>#REF!</v>
      </c>
      <c r="AI87" s="1" t="e">
        <f>AI17-#REF!</f>
        <v>#REF!</v>
      </c>
      <c r="AJ87" s="1" t="e">
        <f>AJ17-#REF!</f>
        <v>#REF!</v>
      </c>
      <c r="AK87" s="1" t="e">
        <f>AK17-#REF!</f>
        <v>#REF!</v>
      </c>
      <c r="AL87" s="1" t="e">
        <f>AL17-#REF!</f>
        <v>#REF!</v>
      </c>
      <c r="AM87" s="1" t="e">
        <f>AM17-#REF!</f>
        <v>#REF!</v>
      </c>
      <c r="AN87" s="1" t="e">
        <f>AN17-#REF!</f>
        <v>#REF!</v>
      </c>
      <c r="AO87" s="1" t="e">
        <f>AO17-#REF!</f>
        <v>#REF!</v>
      </c>
      <c r="AP87" s="1" t="e">
        <f>AP17-#REF!</f>
        <v>#REF!</v>
      </c>
      <c r="AQ87" s="1" t="e">
        <f>AQ17-#REF!</f>
        <v>#REF!</v>
      </c>
      <c r="AR87" s="1" t="e">
        <f>AR17-#REF!</f>
        <v>#REF!</v>
      </c>
      <c r="AS87" s="1" t="e">
        <f>AS17-#REF!</f>
        <v>#REF!</v>
      </c>
      <c r="AT87" s="1" t="e">
        <f>AT17-#REF!</f>
        <v>#REF!</v>
      </c>
      <c r="AU87" s="1" t="e">
        <f>AU17-#REF!</f>
        <v>#REF!</v>
      </c>
      <c r="AV87" s="1" t="e">
        <f>AV17-#REF!</f>
        <v>#REF!</v>
      </c>
      <c r="AW87" s="1" t="e">
        <f>AW17-#REF!</f>
        <v>#REF!</v>
      </c>
      <c r="AX87" s="1" t="e">
        <f>AX17-#REF!</f>
        <v>#REF!</v>
      </c>
      <c r="AY87" s="1" t="e">
        <f>AY17-#REF!</f>
        <v>#REF!</v>
      </c>
      <c r="AZ87" s="1" t="e">
        <f>AZ17-#REF!</f>
        <v>#REF!</v>
      </c>
      <c r="BA87" s="1" t="e">
        <f>BA17-#REF!</f>
        <v>#REF!</v>
      </c>
      <c r="BB87" s="1" t="e">
        <f>BB17-#REF!</f>
        <v>#REF!</v>
      </c>
      <c r="BC87" s="1" t="e">
        <f>BC17-#REF!</f>
        <v>#REF!</v>
      </c>
      <c r="BD87" s="1" t="e">
        <f>BD17-#REF!</f>
        <v>#REF!</v>
      </c>
      <c r="BE87" s="1" t="e">
        <f>BE17-#REF!</f>
        <v>#REF!</v>
      </c>
      <c r="BF87" s="1" t="e">
        <f>BF17-#REF!</f>
        <v>#REF!</v>
      </c>
      <c r="BG87" s="1" t="e">
        <f>BG17-#REF!</f>
        <v>#REF!</v>
      </c>
      <c r="BH87" s="1" t="e">
        <f>BH17-#REF!</f>
        <v>#REF!</v>
      </c>
      <c r="BI87" s="1" t="e">
        <f>BI17-#REF!</f>
        <v>#REF!</v>
      </c>
      <c r="BJ87" s="1" t="e">
        <f>BJ17-#REF!</f>
        <v>#REF!</v>
      </c>
      <c r="BK87" s="1" t="e">
        <f>BK17-#REF!</f>
        <v>#REF!</v>
      </c>
      <c r="BL87" s="1" t="e">
        <f>BL17-#REF!</f>
        <v>#REF!</v>
      </c>
      <c r="BM87" s="1" t="e">
        <f>BM17-#REF!</f>
        <v>#REF!</v>
      </c>
      <c r="BN87" s="1" t="e">
        <f>BN17-#REF!</f>
        <v>#REF!</v>
      </c>
      <c r="BO87" s="1" t="e">
        <f>BO17-#REF!</f>
        <v>#REF!</v>
      </c>
      <c r="BP87" s="1" t="e">
        <f>BP17-#REF!</f>
        <v>#REF!</v>
      </c>
      <c r="BQ87" s="1" t="e">
        <f>BQ17-#REF!</f>
        <v>#REF!</v>
      </c>
      <c r="BR87" s="1" t="e">
        <f>BR17-#REF!</f>
        <v>#REF!</v>
      </c>
      <c r="BS87" s="1" t="e">
        <f>BS17-#REF!</f>
        <v>#REF!</v>
      </c>
      <c r="BT87" s="1" t="e">
        <f>BT17-#REF!</f>
        <v>#REF!</v>
      </c>
      <c r="BU87" s="1" t="e">
        <f>BU17-#REF!</f>
        <v>#REF!</v>
      </c>
    </row>
    <row r="88" spans="3:75" hidden="1" x14ac:dyDescent="0.2">
      <c r="M88" s="1" t="e">
        <f>M18-#REF!</f>
        <v>#REF!</v>
      </c>
      <c r="N88" s="1" t="e">
        <f>N18-#REF!</f>
        <v>#REF!</v>
      </c>
      <c r="O88" s="1" t="e">
        <f>O18-#REF!</f>
        <v>#REF!</v>
      </c>
      <c r="P88" s="1" t="e">
        <f>P18-#REF!</f>
        <v>#REF!</v>
      </c>
      <c r="Q88" s="1" t="e">
        <f>Q18-#REF!</f>
        <v>#REF!</v>
      </c>
      <c r="R88" s="1" t="e">
        <f>R18-#REF!</f>
        <v>#REF!</v>
      </c>
      <c r="S88" s="1" t="e">
        <f>S18-#REF!</f>
        <v>#REF!</v>
      </c>
      <c r="T88" s="1" t="e">
        <f>T18-#REF!</f>
        <v>#REF!</v>
      </c>
      <c r="U88" s="1" t="e">
        <f>U18-#REF!</f>
        <v>#REF!</v>
      </c>
      <c r="V88" s="1" t="e">
        <f>V18-#REF!</f>
        <v>#REF!</v>
      </c>
      <c r="W88" s="1" t="e">
        <f>W18-#REF!</f>
        <v>#REF!</v>
      </c>
      <c r="X88" s="1" t="e">
        <f>X18-#REF!</f>
        <v>#REF!</v>
      </c>
      <c r="Y88" s="1" t="e">
        <f>Y18-#REF!</f>
        <v>#REF!</v>
      </c>
      <c r="Z88" s="1" t="e">
        <f>Z18-#REF!</f>
        <v>#REF!</v>
      </c>
      <c r="AA88" s="1" t="e">
        <f>AA18-#REF!</f>
        <v>#REF!</v>
      </c>
      <c r="AB88" s="1" t="e">
        <f>AB18-#REF!</f>
        <v>#REF!</v>
      </c>
      <c r="AC88" s="1" t="e">
        <f>AC18-#REF!</f>
        <v>#REF!</v>
      </c>
      <c r="AD88" s="1" t="e">
        <f>AD18-#REF!</f>
        <v>#REF!</v>
      </c>
      <c r="AE88" s="1" t="e">
        <f>AE18-#REF!</f>
        <v>#REF!</v>
      </c>
      <c r="AF88" s="1" t="e">
        <f>AF18-#REF!</f>
        <v>#REF!</v>
      </c>
      <c r="AG88" s="1" t="e">
        <f>AG18-#REF!</f>
        <v>#REF!</v>
      </c>
      <c r="AH88" s="1" t="e">
        <f>AH18-#REF!</f>
        <v>#REF!</v>
      </c>
      <c r="AI88" s="1" t="e">
        <f>AI18-#REF!</f>
        <v>#REF!</v>
      </c>
      <c r="AJ88" s="1" t="e">
        <f>AJ18-#REF!</f>
        <v>#REF!</v>
      </c>
      <c r="AK88" s="1" t="e">
        <f>AK18-#REF!</f>
        <v>#REF!</v>
      </c>
      <c r="AL88" s="1" t="e">
        <f>AL18-#REF!</f>
        <v>#REF!</v>
      </c>
      <c r="AM88" s="1" t="e">
        <f>AM18-#REF!</f>
        <v>#REF!</v>
      </c>
      <c r="AN88" s="1" t="e">
        <f>AN18-#REF!</f>
        <v>#REF!</v>
      </c>
      <c r="AO88" s="1" t="e">
        <f>AO18-#REF!</f>
        <v>#REF!</v>
      </c>
      <c r="AP88" s="1" t="e">
        <f>AP18-#REF!</f>
        <v>#REF!</v>
      </c>
      <c r="AQ88" s="1" t="e">
        <f>AQ18-#REF!</f>
        <v>#REF!</v>
      </c>
      <c r="AR88" s="1" t="e">
        <f>AR18-#REF!</f>
        <v>#REF!</v>
      </c>
      <c r="AS88" s="1" t="e">
        <f>AS18-#REF!</f>
        <v>#REF!</v>
      </c>
      <c r="AT88" s="1" t="e">
        <f>AT18-#REF!</f>
        <v>#REF!</v>
      </c>
      <c r="AU88" s="1" t="e">
        <f>AU18-#REF!</f>
        <v>#REF!</v>
      </c>
      <c r="AV88" s="1" t="e">
        <f>AV18-#REF!</f>
        <v>#REF!</v>
      </c>
      <c r="AW88" s="1" t="e">
        <f>AW18-#REF!</f>
        <v>#REF!</v>
      </c>
      <c r="AX88" s="1" t="e">
        <f>AX18-#REF!</f>
        <v>#REF!</v>
      </c>
      <c r="AY88" s="1" t="e">
        <f>AY18-#REF!</f>
        <v>#REF!</v>
      </c>
      <c r="AZ88" s="1" t="e">
        <f>AZ18-#REF!</f>
        <v>#REF!</v>
      </c>
      <c r="BA88" s="1" t="e">
        <f>BA18-#REF!</f>
        <v>#REF!</v>
      </c>
      <c r="BB88" s="1" t="e">
        <f>BB18-#REF!</f>
        <v>#REF!</v>
      </c>
      <c r="BC88" s="1" t="e">
        <f>BC18-#REF!</f>
        <v>#REF!</v>
      </c>
      <c r="BD88" s="1" t="e">
        <f>BD18-#REF!</f>
        <v>#REF!</v>
      </c>
      <c r="BE88" s="1" t="e">
        <f>BE18-#REF!</f>
        <v>#REF!</v>
      </c>
      <c r="BF88" s="1" t="e">
        <f>BF18-#REF!</f>
        <v>#REF!</v>
      </c>
      <c r="BG88" s="1" t="e">
        <f>BG18-#REF!</f>
        <v>#REF!</v>
      </c>
      <c r="BH88" s="1" t="e">
        <f>BH18-#REF!</f>
        <v>#REF!</v>
      </c>
      <c r="BI88" s="1" t="e">
        <f>BI18-#REF!</f>
        <v>#REF!</v>
      </c>
      <c r="BJ88" s="1" t="e">
        <f>BJ18-#REF!</f>
        <v>#REF!</v>
      </c>
      <c r="BK88" s="1" t="e">
        <f>BK18-#REF!</f>
        <v>#REF!</v>
      </c>
      <c r="BL88" s="1" t="e">
        <f>BL18-#REF!</f>
        <v>#REF!</v>
      </c>
      <c r="BM88" s="1" t="e">
        <f>BM18-#REF!</f>
        <v>#REF!</v>
      </c>
      <c r="BN88" s="1" t="e">
        <f>BN18-#REF!</f>
        <v>#REF!</v>
      </c>
      <c r="BO88" s="1" t="e">
        <f>BO18-#REF!</f>
        <v>#REF!</v>
      </c>
      <c r="BP88" s="1" t="e">
        <f>BP18-#REF!</f>
        <v>#REF!</v>
      </c>
      <c r="BQ88" s="1" t="e">
        <f>BQ18-#REF!</f>
        <v>#REF!</v>
      </c>
      <c r="BR88" s="1" t="e">
        <f>BR18-#REF!</f>
        <v>#REF!</v>
      </c>
      <c r="BS88" s="1" t="e">
        <f>BS18-#REF!</f>
        <v>#REF!</v>
      </c>
      <c r="BT88" s="1" t="e">
        <f>BT18-#REF!</f>
        <v>#REF!</v>
      </c>
      <c r="BU88" s="1" t="e">
        <f>BU18-#REF!</f>
        <v>#REF!</v>
      </c>
    </row>
    <row r="89" spans="3:75" hidden="1" x14ac:dyDescent="0.2">
      <c r="M89" s="1" t="e">
        <f>M19-#REF!</f>
        <v>#REF!</v>
      </c>
      <c r="N89" s="1" t="e">
        <f>N19-#REF!</f>
        <v>#REF!</v>
      </c>
      <c r="O89" s="1" t="e">
        <f>O19-#REF!</f>
        <v>#REF!</v>
      </c>
      <c r="P89" s="1" t="e">
        <f>P19-#REF!</f>
        <v>#REF!</v>
      </c>
      <c r="Q89" s="1" t="e">
        <f>Q19-#REF!</f>
        <v>#REF!</v>
      </c>
      <c r="R89" s="1" t="e">
        <f>R19-#REF!</f>
        <v>#REF!</v>
      </c>
      <c r="S89" s="1" t="e">
        <f>S19-#REF!</f>
        <v>#REF!</v>
      </c>
      <c r="T89" s="1" t="e">
        <f>T19-#REF!</f>
        <v>#REF!</v>
      </c>
      <c r="U89" s="1" t="e">
        <f>U19-#REF!</f>
        <v>#REF!</v>
      </c>
      <c r="V89" s="1" t="e">
        <f>V19-#REF!</f>
        <v>#REF!</v>
      </c>
      <c r="W89" s="1" t="e">
        <f>W19-#REF!</f>
        <v>#REF!</v>
      </c>
      <c r="X89" s="1" t="e">
        <f>X19-#REF!</f>
        <v>#REF!</v>
      </c>
      <c r="Y89" s="1" t="e">
        <f>Y19-#REF!</f>
        <v>#REF!</v>
      </c>
      <c r="Z89" s="1" t="e">
        <f>Z19-#REF!</f>
        <v>#REF!</v>
      </c>
      <c r="AA89" s="1" t="e">
        <f>AA19-#REF!</f>
        <v>#REF!</v>
      </c>
      <c r="AB89" s="1" t="e">
        <f>AB19-#REF!</f>
        <v>#REF!</v>
      </c>
      <c r="AC89" s="1" t="e">
        <f>AC19-#REF!</f>
        <v>#REF!</v>
      </c>
      <c r="AD89" s="1" t="e">
        <f>AD19-#REF!</f>
        <v>#REF!</v>
      </c>
      <c r="AE89" s="1" t="e">
        <f>AE19-#REF!</f>
        <v>#REF!</v>
      </c>
      <c r="AF89" s="1" t="e">
        <f>AF19-#REF!</f>
        <v>#REF!</v>
      </c>
      <c r="AG89" s="1" t="e">
        <f>AG19-#REF!</f>
        <v>#REF!</v>
      </c>
      <c r="AH89" s="1" t="e">
        <f>AH19-#REF!</f>
        <v>#REF!</v>
      </c>
      <c r="AI89" s="1" t="e">
        <f>AI19-#REF!</f>
        <v>#REF!</v>
      </c>
      <c r="AJ89" s="1" t="e">
        <f>AJ19-#REF!</f>
        <v>#REF!</v>
      </c>
      <c r="AK89" s="1" t="e">
        <f>AK19-#REF!</f>
        <v>#REF!</v>
      </c>
      <c r="AL89" s="1" t="e">
        <f>AL19-#REF!</f>
        <v>#REF!</v>
      </c>
      <c r="AM89" s="1" t="e">
        <f>AM19-#REF!</f>
        <v>#REF!</v>
      </c>
      <c r="AN89" s="1" t="e">
        <f>AN19-#REF!</f>
        <v>#REF!</v>
      </c>
      <c r="AO89" s="1" t="e">
        <f>AO19-#REF!</f>
        <v>#REF!</v>
      </c>
      <c r="AP89" s="1" t="e">
        <f>AP19-#REF!</f>
        <v>#REF!</v>
      </c>
      <c r="AQ89" s="1" t="e">
        <f>AQ19-#REF!</f>
        <v>#REF!</v>
      </c>
      <c r="AR89" s="1" t="e">
        <f>AR19-#REF!</f>
        <v>#REF!</v>
      </c>
      <c r="AS89" s="1" t="e">
        <f>AS19-#REF!</f>
        <v>#REF!</v>
      </c>
      <c r="AT89" s="1" t="e">
        <f>AT19-#REF!</f>
        <v>#REF!</v>
      </c>
      <c r="AU89" s="1" t="e">
        <f>AU19-#REF!</f>
        <v>#REF!</v>
      </c>
      <c r="AV89" s="1" t="e">
        <f>AV19-#REF!</f>
        <v>#REF!</v>
      </c>
      <c r="AW89" s="1" t="e">
        <f>AW19-#REF!</f>
        <v>#REF!</v>
      </c>
      <c r="AX89" s="1" t="e">
        <f>AX19-#REF!</f>
        <v>#REF!</v>
      </c>
      <c r="AY89" s="1" t="e">
        <f>AY19-#REF!</f>
        <v>#REF!</v>
      </c>
      <c r="AZ89" s="1" t="e">
        <f>AZ19-#REF!</f>
        <v>#REF!</v>
      </c>
      <c r="BA89" s="1" t="e">
        <f>BA19-#REF!</f>
        <v>#REF!</v>
      </c>
      <c r="BB89" s="1" t="e">
        <f>BB19-#REF!</f>
        <v>#REF!</v>
      </c>
      <c r="BC89" s="1" t="e">
        <f>BC19-#REF!</f>
        <v>#REF!</v>
      </c>
      <c r="BD89" s="1" t="e">
        <f>BD19-#REF!</f>
        <v>#REF!</v>
      </c>
      <c r="BE89" s="1" t="e">
        <f>BE19-#REF!</f>
        <v>#REF!</v>
      </c>
      <c r="BF89" s="1" t="e">
        <f>BF19-#REF!</f>
        <v>#REF!</v>
      </c>
      <c r="BG89" s="1" t="e">
        <f>BG19-#REF!</f>
        <v>#REF!</v>
      </c>
      <c r="BH89" s="1" t="e">
        <f>BH19-#REF!</f>
        <v>#REF!</v>
      </c>
      <c r="BI89" s="1" t="e">
        <f>BI19-#REF!</f>
        <v>#REF!</v>
      </c>
      <c r="BJ89" s="1" t="e">
        <f>BJ19-#REF!</f>
        <v>#REF!</v>
      </c>
      <c r="BK89" s="1" t="e">
        <f>BK19-#REF!</f>
        <v>#REF!</v>
      </c>
      <c r="BL89" s="1" t="e">
        <f>BL19-#REF!</f>
        <v>#REF!</v>
      </c>
      <c r="BM89" s="1" t="e">
        <f>BM19-#REF!</f>
        <v>#REF!</v>
      </c>
      <c r="BN89" s="1" t="e">
        <f>BN19-#REF!</f>
        <v>#REF!</v>
      </c>
      <c r="BO89" s="1" t="e">
        <f>BO19-#REF!</f>
        <v>#REF!</v>
      </c>
      <c r="BP89" s="1" t="e">
        <f>BP19-#REF!</f>
        <v>#REF!</v>
      </c>
      <c r="BQ89" s="1" t="e">
        <f>BQ19-#REF!</f>
        <v>#REF!</v>
      </c>
      <c r="BR89" s="1" t="e">
        <f>BR19-#REF!</f>
        <v>#REF!</v>
      </c>
      <c r="BS89" s="1" t="e">
        <f>BS19-#REF!</f>
        <v>#REF!</v>
      </c>
      <c r="BT89" s="1" t="e">
        <f>BT19-#REF!</f>
        <v>#REF!</v>
      </c>
      <c r="BU89" s="1" t="e">
        <f>BU19-#REF!</f>
        <v>#REF!</v>
      </c>
    </row>
    <row r="90" spans="3:75" hidden="1" x14ac:dyDescent="0.2">
      <c r="M90" s="1" t="e">
        <f>M20-#REF!</f>
        <v>#REF!</v>
      </c>
      <c r="N90" s="1" t="e">
        <f>N20-#REF!</f>
        <v>#REF!</v>
      </c>
      <c r="O90" s="1" t="e">
        <f>O20-#REF!</f>
        <v>#REF!</v>
      </c>
      <c r="P90" s="1" t="e">
        <f>P20-#REF!</f>
        <v>#REF!</v>
      </c>
      <c r="Q90" s="1" t="e">
        <f>Q20-#REF!</f>
        <v>#REF!</v>
      </c>
      <c r="R90" s="1" t="e">
        <f>R20-#REF!</f>
        <v>#REF!</v>
      </c>
      <c r="S90" s="1" t="e">
        <f>S20-#REF!</f>
        <v>#REF!</v>
      </c>
      <c r="T90" s="1" t="e">
        <f>T20-#REF!</f>
        <v>#REF!</v>
      </c>
      <c r="U90" s="1" t="e">
        <f>U20-#REF!</f>
        <v>#REF!</v>
      </c>
      <c r="V90" s="1" t="e">
        <f>V20-#REF!</f>
        <v>#REF!</v>
      </c>
      <c r="W90" s="1" t="e">
        <f>W20-#REF!</f>
        <v>#REF!</v>
      </c>
      <c r="X90" s="1" t="e">
        <f>X20-#REF!</f>
        <v>#REF!</v>
      </c>
      <c r="Y90" s="1" t="e">
        <f>Y20-#REF!</f>
        <v>#REF!</v>
      </c>
      <c r="Z90" s="1" t="e">
        <f>Z20-#REF!</f>
        <v>#REF!</v>
      </c>
      <c r="AA90" s="1" t="e">
        <f>AA20-#REF!</f>
        <v>#REF!</v>
      </c>
      <c r="AB90" s="1" t="e">
        <f>AB20-#REF!</f>
        <v>#REF!</v>
      </c>
      <c r="AC90" s="1" t="e">
        <f>AC20-#REF!</f>
        <v>#REF!</v>
      </c>
      <c r="AD90" s="1" t="e">
        <f>AD20-#REF!</f>
        <v>#REF!</v>
      </c>
      <c r="AE90" s="1" t="e">
        <f>AE20-#REF!</f>
        <v>#REF!</v>
      </c>
      <c r="AF90" s="1" t="e">
        <f>AF20-#REF!</f>
        <v>#REF!</v>
      </c>
      <c r="AG90" s="1" t="e">
        <f>AG20-#REF!</f>
        <v>#REF!</v>
      </c>
      <c r="AH90" s="1" t="e">
        <f>AH20-#REF!</f>
        <v>#REF!</v>
      </c>
      <c r="AI90" s="1" t="e">
        <f>AI20-#REF!</f>
        <v>#REF!</v>
      </c>
      <c r="AJ90" s="1" t="e">
        <f>AJ20-#REF!</f>
        <v>#REF!</v>
      </c>
      <c r="AK90" s="1" t="e">
        <f>AK20-#REF!</f>
        <v>#REF!</v>
      </c>
      <c r="AL90" s="1" t="e">
        <f>AL20-#REF!</f>
        <v>#REF!</v>
      </c>
      <c r="AM90" s="1" t="e">
        <f>AM20-#REF!</f>
        <v>#REF!</v>
      </c>
      <c r="AN90" s="1" t="e">
        <f>AN20-#REF!</f>
        <v>#REF!</v>
      </c>
      <c r="AO90" s="1" t="e">
        <f>AO20-#REF!</f>
        <v>#REF!</v>
      </c>
      <c r="AP90" s="1" t="e">
        <f>AP20-#REF!</f>
        <v>#REF!</v>
      </c>
      <c r="AQ90" s="1" t="e">
        <f>AQ20-#REF!</f>
        <v>#REF!</v>
      </c>
      <c r="AR90" s="1" t="e">
        <f>AR20-#REF!</f>
        <v>#REF!</v>
      </c>
      <c r="AS90" s="1" t="e">
        <f>AS20-#REF!</f>
        <v>#REF!</v>
      </c>
      <c r="AT90" s="1" t="e">
        <f>AT20-#REF!</f>
        <v>#REF!</v>
      </c>
      <c r="AU90" s="1" t="e">
        <f>AU20-#REF!</f>
        <v>#REF!</v>
      </c>
      <c r="AV90" s="1" t="e">
        <f>AV20-#REF!</f>
        <v>#REF!</v>
      </c>
      <c r="AW90" s="1" t="e">
        <f>AW20-#REF!</f>
        <v>#REF!</v>
      </c>
      <c r="AX90" s="1" t="e">
        <f>AX20-#REF!</f>
        <v>#REF!</v>
      </c>
      <c r="AY90" s="1" t="e">
        <f>AY20-#REF!</f>
        <v>#REF!</v>
      </c>
      <c r="AZ90" s="1" t="e">
        <f>AZ20-#REF!</f>
        <v>#REF!</v>
      </c>
      <c r="BA90" s="1" t="e">
        <f>BA20-#REF!</f>
        <v>#REF!</v>
      </c>
      <c r="BB90" s="1" t="e">
        <f>BB20-#REF!</f>
        <v>#REF!</v>
      </c>
      <c r="BC90" s="1" t="e">
        <f>BC20-#REF!</f>
        <v>#REF!</v>
      </c>
      <c r="BD90" s="1" t="e">
        <f>BD20-#REF!</f>
        <v>#REF!</v>
      </c>
      <c r="BE90" s="1" t="e">
        <f>BE20-#REF!</f>
        <v>#REF!</v>
      </c>
      <c r="BF90" s="1" t="e">
        <f>BF20-#REF!</f>
        <v>#REF!</v>
      </c>
      <c r="BG90" s="1" t="e">
        <f>BG20-#REF!</f>
        <v>#REF!</v>
      </c>
      <c r="BH90" s="1" t="e">
        <f>BH20-#REF!</f>
        <v>#REF!</v>
      </c>
      <c r="BI90" s="1" t="e">
        <f>BI20-#REF!</f>
        <v>#REF!</v>
      </c>
      <c r="BJ90" s="1" t="e">
        <f>BJ20-#REF!</f>
        <v>#REF!</v>
      </c>
      <c r="BK90" s="1" t="e">
        <f>BK20-#REF!</f>
        <v>#REF!</v>
      </c>
      <c r="BL90" s="1" t="e">
        <f>BL20-#REF!</f>
        <v>#REF!</v>
      </c>
      <c r="BM90" s="1" t="e">
        <f>BM20-#REF!</f>
        <v>#REF!</v>
      </c>
      <c r="BN90" s="1" t="e">
        <f>BN20-#REF!</f>
        <v>#REF!</v>
      </c>
      <c r="BO90" s="1" t="e">
        <f>BO20-#REF!</f>
        <v>#REF!</v>
      </c>
      <c r="BP90" s="1" t="e">
        <f>BP20-#REF!</f>
        <v>#REF!</v>
      </c>
      <c r="BQ90" s="1" t="e">
        <f>BQ20-#REF!</f>
        <v>#REF!</v>
      </c>
      <c r="BR90" s="1" t="e">
        <f>BR20-#REF!</f>
        <v>#REF!</v>
      </c>
      <c r="BS90" s="1" t="e">
        <f>BS20-#REF!</f>
        <v>#REF!</v>
      </c>
      <c r="BT90" s="1" t="e">
        <f>BT20-#REF!</f>
        <v>#REF!</v>
      </c>
      <c r="BU90" s="1" t="e">
        <f>BU20-#REF!</f>
        <v>#REF!</v>
      </c>
    </row>
    <row r="91" spans="3:75" hidden="1" x14ac:dyDescent="0.2">
      <c r="M91" s="1" t="e">
        <f>M21-#REF!</f>
        <v>#REF!</v>
      </c>
      <c r="N91" s="1" t="e">
        <f>N21-#REF!</f>
        <v>#REF!</v>
      </c>
      <c r="O91" s="1" t="e">
        <f>O21-#REF!</f>
        <v>#REF!</v>
      </c>
      <c r="P91" s="1" t="e">
        <f>P21-#REF!</f>
        <v>#REF!</v>
      </c>
      <c r="Q91" s="1" t="e">
        <f>Q21-#REF!</f>
        <v>#REF!</v>
      </c>
      <c r="R91" s="1" t="e">
        <f>R21-#REF!</f>
        <v>#REF!</v>
      </c>
      <c r="S91" s="1" t="e">
        <f>S21-#REF!</f>
        <v>#REF!</v>
      </c>
      <c r="T91" s="1" t="e">
        <f>T21-#REF!</f>
        <v>#REF!</v>
      </c>
      <c r="U91" s="1" t="e">
        <f>U21-#REF!</f>
        <v>#REF!</v>
      </c>
      <c r="V91" s="1" t="e">
        <f>V21-#REF!</f>
        <v>#REF!</v>
      </c>
      <c r="W91" s="1" t="e">
        <f>W21-#REF!</f>
        <v>#REF!</v>
      </c>
      <c r="X91" s="1" t="e">
        <f>X21-#REF!</f>
        <v>#REF!</v>
      </c>
      <c r="Y91" s="1" t="e">
        <f>Y21-#REF!</f>
        <v>#REF!</v>
      </c>
      <c r="Z91" s="1" t="e">
        <f>Z21-#REF!</f>
        <v>#REF!</v>
      </c>
      <c r="AA91" s="1" t="e">
        <f>AA21-#REF!</f>
        <v>#REF!</v>
      </c>
      <c r="AB91" s="1" t="e">
        <f>AB21-#REF!</f>
        <v>#REF!</v>
      </c>
      <c r="AC91" s="1" t="e">
        <f>AC21-#REF!</f>
        <v>#REF!</v>
      </c>
      <c r="AD91" s="1" t="e">
        <f>AD21-#REF!</f>
        <v>#REF!</v>
      </c>
      <c r="AE91" s="1" t="e">
        <f>AE21-#REF!</f>
        <v>#REF!</v>
      </c>
      <c r="AF91" s="1" t="e">
        <f>AF21-#REF!</f>
        <v>#REF!</v>
      </c>
      <c r="AG91" s="1" t="e">
        <f>AG21-#REF!</f>
        <v>#REF!</v>
      </c>
      <c r="AH91" s="1" t="e">
        <f>AH21-#REF!</f>
        <v>#REF!</v>
      </c>
      <c r="AI91" s="1" t="e">
        <f>AI21-#REF!</f>
        <v>#REF!</v>
      </c>
      <c r="AJ91" s="1" t="e">
        <f>AJ21-#REF!</f>
        <v>#REF!</v>
      </c>
      <c r="AK91" s="1" t="e">
        <f>AK21-#REF!</f>
        <v>#REF!</v>
      </c>
      <c r="AL91" s="1" t="e">
        <f>AL21-#REF!</f>
        <v>#REF!</v>
      </c>
      <c r="AM91" s="1" t="e">
        <f>AM21-#REF!</f>
        <v>#REF!</v>
      </c>
      <c r="AN91" s="1" t="e">
        <f>AN21-#REF!</f>
        <v>#REF!</v>
      </c>
      <c r="AO91" s="1" t="e">
        <f>AO21-#REF!</f>
        <v>#REF!</v>
      </c>
      <c r="AP91" s="1" t="e">
        <f>AP21-#REF!</f>
        <v>#REF!</v>
      </c>
      <c r="AQ91" s="1" t="e">
        <f>AQ21-#REF!</f>
        <v>#REF!</v>
      </c>
      <c r="AR91" s="1" t="e">
        <f>AR21-#REF!</f>
        <v>#REF!</v>
      </c>
      <c r="AS91" s="1" t="e">
        <f>AS21-#REF!</f>
        <v>#REF!</v>
      </c>
      <c r="AT91" s="1" t="e">
        <f>AT21-#REF!</f>
        <v>#REF!</v>
      </c>
      <c r="AU91" s="1" t="e">
        <f>AU21-#REF!</f>
        <v>#REF!</v>
      </c>
      <c r="AV91" s="1" t="e">
        <f>AV21-#REF!</f>
        <v>#REF!</v>
      </c>
      <c r="AW91" s="1" t="e">
        <f>AW21-#REF!</f>
        <v>#REF!</v>
      </c>
      <c r="AX91" s="1" t="e">
        <f>AX21-#REF!</f>
        <v>#REF!</v>
      </c>
      <c r="AY91" s="1" t="e">
        <f>AY21-#REF!</f>
        <v>#REF!</v>
      </c>
      <c r="AZ91" s="1" t="e">
        <f>AZ21-#REF!</f>
        <v>#REF!</v>
      </c>
      <c r="BA91" s="1" t="e">
        <f>BA21-#REF!</f>
        <v>#REF!</v>
      </c>
      <c r="BB91" s="1" t="e">
        <f>BB21-#REF!</f>
        <v>#REF!</v>
      </c>
      <c r="BC91" s="1" t="e">
        <f>BC21-#REF!</f>
        <v>#REF!</v>
      </c>
      <c r="BD91" s="1" t="e">
        <f>BD21-#REF!</f>
        <v>#REF!</v>
      </c>
      <c r="BE91" s="1" t="e">
        <f>BE21-#REF!</f>
        <v>#REF!</v>
      </c>
      <c r="BF91" s="1" t="e">
        <f>BF21-#REF!</f>
        <v>#REF!</v>
      </c>
      <c r="BG91" s="1" t="e">
        <f>BG21-#REF!</f>
        <v>#REF!</v>
      </c>
      <c r="BH91" s="1" t="e">
        <f>BH21-#REF!</f>
        <v>#REF!</v>
      </c>
      <c r="BI91" s="1" t="e">
        <f>BI21-#REF!</f>
        <v>#REF!</v>
      </c>
      <c r="BJ91" s="1" t="e">
        <f>BJ21-#REF!</f>
        <v>#REF!</v>
      </c>
      <c r="BK91" s="1" t="e">
        <f>BK21-#REF!</f>
        <v>#REF!</v>
      </c>
      <c r="BL91" s="1" t="e">
        <f>BL21-#REF!</f>
        <v>#REF!</v>
      </c>
      <c r="BM91" s="1" t="e">
        <f>BM21-#REF!</f>
        <v>#REF!</v>
      </c>
      <c r="BN91" s="1" t="e">
        <f>BN21-#REF!</f>
        <v>#REF!</v>
      </c>
      <c r="BO91" s="1" t="e">
        <f>BO21-#REF!</f>
        <v>#REF!</v>
      </c>
      <c r="BP91" s="1" t="e">
        <f>BP21-#REF!</f>
        <v>#REF!</v>
      </c>
      <c r="BQ91" s="1" t="e">
        <f>BQ21-#REF!</f>
        <v>#REF!</v>
      </c>
      <c r="BR91" s="1" t="e">
        <f>BR21-#REF!</f>
        <v>#REF!</v>
      </c>
      <c r="BS91" s="1" t="e">
        <f>BS21-#REF!</f>
        <v>#REF!</v>
      </c>
      <c r="BT91" s="1" t="e">
        <f>BT21-#REF!</f>
        <v>#REF!</v>
      </c>
      <c r="BU91" s="1" t="e">
        <f>BU21-#REF!</f>
        <v>#REF!</v>
      </c>
    </row>
    <row r="92" spans="3:75" hidden="1" x14ac:dyDescent="0.2">
      <c r="M92" s="1" t="e">
        <f>M22-#REF!</f>
        <v>#REF!</v>
      </c>
      <c r="N92" s="1" t="e">
        <f>N22-#REF!</f>
        <v>#REF!</v>
      </c>
      <c r="O92" s="1" t="e">
        <f>O22-#REF!</f>
        <v>#REF!</v>
      </c>
      <c r="P92" s="1" t="e">
        <f>P22-#REF!</f>
        <v>#REF!</v>
      </c>
      <c r="Q92" s="1" t="e">
        <f>Q22-#REF!</f>
        <v>#REF!</v>
      </c>
      <c r="R92" s="1" t="e">
        <f>R22-#REF!</f>
        <v>#REF!</v>
      </c>
      <c r="S92" s="1" t="e">
        <f>S22-#REF!</f>
        <v>#REF!</v>
      </c>
      <c r="T92" s="1" t="e">
        <f>T22-#REF!</f>
        <v>#REF!</v>
      </c>
      <c r="U92" s="1" t="e">
        <f>U22-#REF!</f>
        <v>#REF!</v>
      </c>
      <c r="V92" s="1" t="e">
        <f>V22-#REF!</f>
        <v>#REF!</v>
      </c>
      <c r="W92" s="1" t="e">
        <f>W22-#REF!</f>
        <v>#REF!</v>
      </c>
      <c r="X92" s="1" t="e">
        <f>X22-#REF!</f>
        <v>#REF!</v>
      </c>
      <c r="Y92" s="1" t="e">
        <f>Y22-#REF!</f>
        <v>#REF!</v>
      </c>
      <c r="Z92" s="1" t="e">
        <f>Z22-#REF!</f>
        <v>#REF!</v>
      </c>
      <c r="AA92" s="1" t="e">
        <f>AA22-#REF!</f>
        <v>#REF!</v>
      </c>
      <c r="AB92" s="1" t="e">
        <f>AB22-#REF!</f>
        <v>#REF!</v>
      </c>
      <c r="AC92" s="1" t="e">
        <f>AC22-#REF!</f>
        <v>#REF!</v>
      </c>
      <c r="AD92" s="1" t="e">
        <f>AD22-#REF!</f>
        <v>#REF!</v>
      </c>
      <c r="AE92" s="1" t="e">
        <f>AE22-#REF!</f>
        <v>#REF!</v>
      </c>
      <c r="AF92" s="1" t="e">
        <f>AF22-#REF!</f>
        <v>#REF!</v>
      </c>
      <c r="AG92" s="1" t="e">
        <f>AG22-#REF!</f>
        <v>#REF!</v>
      </c>
      <c r="AH92" s="1" t="e">
        <f>AH22-#REF!</f>
        <v>#REF!</v>
      </c>
      <c r="AI92" s="1" t="e">
        <f>AI22-#REF!</f>
        <v>#REF!</v>
      </c>
      <c r="AJ92" s="1" t="e">
        <f>AJ22-#REF!</f>
        <v>#REF!</v>
      </c>
      <c r="AK92" s="1" t="e">
        <f>AK22-#REF!</f>
        <v>#REF!</v>
      </c>
      <c r="AL92" s="1" t="e">
        <f>AL22-#REF!</f>
        <v>#REF!</v>
      </c>
      <c r="AM92" s="1" t="e">
        <f>AM22-#REF!</f>
        <v>#REF!</v>
      </c>
      <c r="AN92" s="1" t="e">
        <f>AN22-#REF!</f>
        <v>#REF!</v>
      </c>
      <c r="AO92" s="1" t="e">
        <f>AO22-#REF!</f>
        <v>#REF!</v>
      </c>
      <c r="AP92" s="1" t="e">
        <f>AP22-#REF!</f>
        <v>#REF!</v>
      </c>
      <c r="AQ92" s="1" t="e">
        <f>AQ22-#REF!</f>
        <v>#REF!</v>
      </c>
      <c r="AR92" s="1" t="e">
        <f>AR22-#REF!</f>
        <v>#REF!</v>
      </c>
      <c r="AS92" s="1" t="e">
        <f>AS22-#REF!</f>
        <v>#REF!</v>
      </c>
      <c r="AT92" s="1" t="e">
        <f>AT22-#REF!</f>
        <v>#REF!</v>
      </c>
      <c r="AU92" s="1" t="e">
        <f>AU22-#REF!</f>
        <v>#REF!</v>
      </c>
      <c r="AV92" s="1" t="e">
        <f>AV22-#REF!</f>
        <v>#REF!</v>
      </c>
      <c r="AW92" s="1" t="e">
        <f>AW22-#REF!</f>
        <v>#REF!</v>
      </c>
      <c r="AX92" s="1" t="e">
        <f>AX22-#REF!</f>
        <v>#REF!</v>
      </c>
      <c r="AY92" s="1" t="e">
        <f>AY22-#REF!</f>
        <v>#REF!</v>
      </c>
      <c r="AZ92" s="1" t="e">
        <f>AZ22-#REF!</f>
        <v>#REF!</v>
      </c>
      <c r="BA92" s="1" t="e">
        <f>BA22-#REF!</f>
        <v>#REF!</v>
      </c>
      <c r="BB92" s="1" t="e">
        <f>BB22-#REF!</f>
        <v>#REF!</v>
      </c>
      <c r="BC92" s="1" t="e">
        <f>BC22-#REF!</f>
        <v>#REF!</v>
      </c>
      <c r="BD92" s="1" t="e">
        <f>BD22-#REF!</f>
        <v>#REF!</v>
      </c>
      <c r="BE92" s="1" t="e">
        <f>BE22-#REF!</f>
        <v>#REF!</v>
      </c>
      <c r="BF92" s="1" t="e">
        <f>BF22-#REF!</f>
        <v>#REF!</v>
      </c>
      <c r="BG92" s="1" t="e">
        <f>BG22-#REF!</f>
        <v>#REF!</v>
      </c>
      <c r="BH92" s="1" t="e">
        <f>BH22-#REF!</f>
        <v>#REF!</v>
      </c>
      <c r="BI92" s="1" t="e">
        <f>BI22-#REF!</f>
        <v>#REF!</v>
      </c>
      <c r="BJ92" s="1" t="e">
        <f>BJ22-#REF!</f>
        <v>#REF!</v>
      </c>
      <c r="BK92" s="1" t="e">
        <f>BK22-#REF!</f>
        <v>#REF!</v>
      </c>
      <c r="BL92" s="1" t="e">
        <f>BL22-#REF!</f>
        <v>#REF!</v>
      </c>
      <c r="BM92" s="1" t="e">
        <f>BM22-#REF!</f>
        <v>#REF!</v>
      </c>
      <c r="BN92" s="1" t="e">
        <f>BN22-#REF!</f>
        <v>#REF!</v>
      </c>
      <c r="BO92" s="1" t="e">
        <f>BO22-#REF!</f>
        <v>#REF!</v>
      </c>
      <c r="BP92" s="1" t="e">
        <f>BP22-#REF!</f>
        <v>#REF!</v>
      </c>
      <c r="BQ92" s="1" t="e">
        <f>BQ22-#REF!</f>
        <v>#REF!</v>
      </c>
      <c r="BR92" s="1" t="e">
        <f>BR22-#REF!</f>
        <v>#REF!</v>
      </c>
      <c r="BS92" s="1" t="e">
        <f>BS22-#REF!</f>
        <v>#REF!</v>
      </c>
      <c r="BT92" s="1" t="e">
        <f>BT22-#REF!</f>
        <v>#REF!</v>
      </c>
      <c r="BU92" s="1" t="e">
        <f>BU22-#REF!</f>
        <v>#REF!</v>
      </c>
    </row>
    <row r="93" spans="3:75" hidden="1" x14ac:dyDescent="0.2">
      <c r="M93" s="1" t="e">
        <f>M23-#REF!</f>
        <v>#REF!</v>
      </c>
      <c r="N93" s="1" t="e">
        <f>N23-#REF!</f>
        <v>#REF!</v>
      </c>
      <c r="O93" s="1" t="e">
        <f>O23-#REF!</f>
        <v>#REF!</v>
      </c>
      <c r="P93" s="1" t="e">
        <f>P23-#REF!</f>
        <v>#REF!</v>
      </c>
      <c r="Q93" s="1" t="e">
        <f>Q23-#REF!</f>
        <v>#REF!</v>
      </c>
      <c r="R93" s="1" t="e">
        <f>R23-#REF!</f>
        <v>#REF!</v>
      </c>
      <c r="S93" s="1" t="e">
        <f>S23-#REF!</f>
        <v>#REF!</v>
      </c>
      <c r="T93" s="1" t="e">
        <f>T23-#REF!</f>
        <v>#REF!</v>
      </c>
      <c r="U93" s="1" t="e">
        <f>U23-#REF!</f>
        <v>#REF!</v>
      </c>
      <c r="V93" s="1" t="e">
        <f>V23-#REF!</f>
        <v>#REF!</v>
      </c>
      <c r="W93" s="1" t="e">
        <f>W23-#REF!</f>
        <v>#REF!</v>
      </c>
      <c r="X93" s="1" t="e">
        <f>X23-#REF!</f>
        <v>#REF!</v>
      </c>
      <c r="Y93" s="1" t="e">
        <f>Y23-#REF!</f>
        <v>#REF!</v>
      </c>
      <c r="Z93" s="1" t="e">
        <f>Z23-#REF!</f>
        <v>#REF!</v>
      </c>
      <c r="AA93" s="1" t="e">
        <f>AA23-#REF!</f>
        <v>#REF!</v>
      </c>
      <c r="AB93" s="1" t="e">
        <f>AB23-#REF!</f>
        <v>#REF!</v>
      </c>
      <c r="AC93" s="1" t="e">
        <f>AC23-#REF!</f>
        <v>#REF!</v>
      </c>
      <c r="AD93" s="1" t="e">
        <f>AD23-#REF!</f>
        <v>#REF!</v>
      </c>
      <c r="AE93" s="1" t="e">
        <f>AE23-#REF!</f>
        <v>#REF!</v>
      </c>
      <c r="AF93" s="1" t="e">
        <f>AF23-#REF!</f>
        <v>#REF!</v>
      </c>
      <c r="AG93" s="1" t="e">
        <f>AG23-#REF!</f>
        <v>#REF!</v>
      </c>
      <c r="AH93" s="1" t="e">
        <f>AH23-#REF!</f>
        <v>#REF!</v>
      </c>
      <c r="AI93" s="1" t="e">
        <f>AI23-#REF!</f>
        <v>#REF!</v>
      </c>
      <c r="AJ93" s="1" t="e">
        <f>AJ23-#REF!</f>
        <v>#REF!</v>
      </c>
      <c r="AK93" s="1" t="e">
        <f>AK23-#REF!</f>
        <v>#REF!</v>
      </c>
      <c r="AL93" s="1" t="e">
        <f>AL23-#REF!</f>
        <v>#REF!</v>
      </c>
      <c r="AM93" s="1" t="e">
        <f>AM23-#REF!</f>
        <v>#REF!</v>
      </c>
      <c r="AN93" s="1" t="e">
        <f>AN23-#REF!</f>
        <v>#REF!</v>
      </c>
      <c r="AO93" s="1" t="e">
        <f>AO23-#REF!</f>
        <v>#REF!</v>
      </c>
      <c r="AP93" s="1" t="e">
        <f>AP23-#REF!</f>
        <v>#REF!</v>
      </c>
      <c r="AQ93" s="1" t="e">
        <f>AQ23-#REF!</f>
        <v>#REF!</v>
      </c>
      <c r="AR93" s="1" t="e">
        <f>AR23-#REF!</f>
        <v>#REF!</v>
      </c>
      <c r="AS93" s="1" t="e">
        <f>AS23-#REF!</f>
        <v>#REF!</v>
      </c>
      <c r="AT93" s="1" t="e">
        <f>AT23-#REF!</f>
        <v>#REF!</v>
      </c>
      <c r="AU93" s="1" t="e">
        <f>AU23-#REF!</f>
        <v>#REF!</v>
      </c>
      <c r="AV93" s="1" t="e">
        <f>AV23-#REF!</f>
        <v>#REF!</v>
      </c>
      <c r="AW93" s="1" t="e">
        <f>AW23-#REF!</f>
        <v>#REF!</v>
      </c>
      <c r="AX93" s="1" t="e">
        <f>AX23-#REF!</f>
        <v>#REF!</v>
      </c>
      <c r="AY93" s="1" t="e">
        <f>AY23-#REF!</f>
        <v>#REF!</v>
      </c>
      <c r="AZ93" s="1" t="e">
        <f>AZ23-#REF!</f>
        <v>#REF!</v>
      </c>
      <c r="BA93" s="1" t="e">
        <f>BA23-#REF!</f>
        <v>#REF!</v>
      </c>
      <c r="BB93" s="1" t="e">
        <f>BB23-#REF!</f>
        <v>#REF!</v>
      </c>
      <c r="BC93" s="1" t="e">
        <f>BC23-#REF!</f>
        <v>#REF!</v>
      </c>
      <c r="BD93" s="1" t="e">
        <f>BD23-#REF!</f>
        <v>#REF!</v>
      </c>
      <c r="BE93" s="1" t="e">
        <f>BE23-#REF!</f>
        <v>#REF!</v>
      </c>
      <c r="BF93" s="1" t="e">
        <f>BF23-#REF!</f>
        <v>#REF!</v>
      </c>
      <c r="BG93" s="1" t="e">
        <f>BG23-#REF!</f>
        <v>#REF!</v>
      </c>
      <c r="BH93" s="1" t="e">
        <f>BH23-#REF!</f>
        <v>#REF!</v>
      </c>
      <c r="BI93" s="1" t="e">
        <f>BI23-#REF!</f>
        <v>#REF!</v>
      </c>
      <c r="BJ93" s="1" t="e">
        <f>BJ23-#REF!</f>
        <v>#REF!</v>
      </c>
      <c r="BK93" s="1" t="e">
        <f>BK23-#REF!</f>
        <v>#REF!</v>
      </c>
      <c r="BL93" s="1" t="e">
        <f>BL23-#REF!</f>
        <v>#REF!</v>
      </c>
      <c r="BM93" s="1" t="e">
        <f>BM23-#REF!</f>
        <v>#REF!</v>
      </c>
      <c r="BN93" s="1" t="e">
        <f>BN23-#REF!</f>
        <v>#REF!</v>
      </c>
      <c r="BO93" s="1" t="e">
        <f>BO23-#REF!</f>
        <v>#REF!</v>
      </c>
      <c r="BP93" s="1" t="e">
        <f>BP23-#REF!</f>
        <v>#REF!</v>
      </c>
      <c r="BQ93" s="1" t="e">
        <f>BQ23-#REF!</f>
        <v>#REF!</v>
      </c>
      <c r="BR93" s="1" t="e">
        <f>BR23-#REF!</f>
        <v>#REF!</v>
      </c>
      <c r="BS93" s="1" t="e">
        <f>BS23-#REF!</f>
        <v>#REF!</v>
      </c>
      <c r="BT93" s="1" t="e">
        <f>BT23-#REF!</f>
        <v>#REF!</v>
      </c>
      <c r="BU93" s="1" t="e">
        <f>BU23-#REF!</f>
        <v>#REF!</v>
      </c>
    </row>
    <row r="94" spans="3:75" hidden="1" x14ac:dyDescent="0.2">
      <c r="M94" s="1" t="e">
        <f>M24-#REF!</f>
        <v>#REF!</v>
      </c>
      <c r="N94" s="1" t="e">
        <f>N24-#REF!</f>
        <v>#REF!</v>
      </c>
      <c r="O94" s="1" t="e">
        <f>O24-#REF!</f>
        <v>#REF!</v>
      </c>
      <c r="P94" s="1" t="e">
        <f>P24-#REF!</f>
        <v>#REF!</v>
      </c>
      <c r="Q94" s="1" t="e">
        <f>Q24-#REF!</f>
        <v>#REF!</v>
      </c>
      <c r="R94" s="1" t="e">
        <f>R24-#REF!</f>
        <v>#REF!</v>
      </c>
      <c r="S94" s="1" t="e">
        <f>S24-#REF!</f>
        <v>#REF!</v>
      </c>
      <c r="T94" s="1" t="e">
        <f>T24-#REF!</f>
        <v>#REF!</v>
      </c>
      <c r="U94" s="1" t="e">
        <f>U24-#REF!</f>
        <v>#REF!</v>
      </c>
      <c r="V94" s="1" t="e">
        <f>V24-#REF!</f>
        <v>#REF!</v>
      </c>
      <c r="W94" s="1" t="e">
        <f>W24-#REF!</f>
        <v>#REF!</v>
      </c>
      <c r="X94" s="1" t="e">
        <f>X24-#REF!</f>
        <v>#REF!</v>
      </c>
      <c r="Y94" s="1" t="e">
        <f>Y24-#REF!</f>
        <v>#REF!</v>
      </c>
      <c r="Z94" s="1" t="e">
        <f>Z24-#REF!</f>
        <v>#REF!</v>
      </c>
      <c r="AA94" s="1" t="e">
        <f>AA24-#REF!</f>
        <v>#REF!</v>
      </c>
      <c r="AB94" s="1" t="e">
        <f>AB24-#REF!</f>
        <v>#REF!</v>
      </c>
      <c r="AC94" s="1" t="e">
        <f>AC24-#REF!</f>
        <v>#REF!</v>
      </c>
      <c r="AD94" s="1" t="e">
        <f>AD24-#REF!</f>
        <v>#REF!</v>
      </c>
      <c r="AE94" s="1" t="e">
        <f>AE24-#REF!</f>
        <v>#REF!</v>
      </c>
      <c r="AF94" s="1" t="e">
        <f>AF24-#REF!</f>
        <v>#REF!</v>
      </c>
      <c r="AG94" s="1" t="e">
        <f>AG24-#REF!</f>
        <v>#REF!</v>
      </c>
      <c r="AH94" s="1" t="e">
        <f>AH24-#REF!</f>
        <v>#REF!</v>
      </c>
      <c r="AI94" s="1" t="e">
        <f>AI24-#REF!</f>
        <v>#REF!</v>
      </c>
      <c r="AJ94" s="1" t="e">
        <f>AJ24-#REF!</f>
        <v>#REF!</v>
      </c>
      <c r="AK94" s="1" t="e">
        <f>AK24-#REF!</f>
        <v>#REF!</v>
      </c>
      <c r="AL94" s="1" t="e">
        <f>AL24-#REF!</f>
        <v>#REF!</v>
      </c>
      <c r="AM94" s="1" t="e">
        <f>AM24-#REF!</f>
        <v>#REF!</v>
      </c>
      <c r="AN94" s="1" t="e">
        <f>AN24-#REF!</f>
        <v>#REF!</v>
      </c>
      <c r="AO94" s="1" t="e">
        <f>AO24-#REF!</f>
        <v>#REF!</v>
      </c>
      <c r="AP94" s="1" t="e">
        <f>AP24-#REF!</f>
        <v>#REF!</v>
      </c>
      <c r="AQ94" s="1" t="e">
        <f>AQ24-#REF!</f>
        <v>#REF!</v>
      </c>
      <c r="AR94" s="1" t="e">
        <f>AR24-#REF!</f>
        <v>#REF!</v>
      </c>
      <c r="AS94" s="1" t="e">
        <f>AS24-#REF!</f>
        <v>#REF!</v>
      </c>
      <c r="AT94" s="1" t="e">
        <f>AT24-#REF!</f>
        <v>#REF!</v>
      </c>
      <c r="AU94" s="1" t="e">
        <f>AU24-#REF!</f>
        <v>#REF!</v>
      </c>
      <c r="AV94" s="1" t="e">
        <f>AV24-#REF!</f>
        <v>#REF!</v>
      </c>
      <c r="AW94" s="1" t="e">
        <f>AW24-#REF!</f>
        <v>#REF!</v>
      </c>
      <c r="AX94" s="1" t="e">
        <f>AX24-#REF!</f>
        <v>#REF!</v>
      </c>
      <c r="AY94" s="1" t="e">
        <f>AY24-#REF!</f>
        <v>#REF!</v>
      </c>
      <c r="AZ94" s="1" t="e">
        <f>AZ24-#REF!</f>
        <v>#REF!</v>
      </c>
      <c r="BA94" s="1" t="e">
        <f>BA24-#REF!</f>
        <v>#REF!</v>
      </c>
      <c r="BB94" s="1" t="e">
        <f>BB24-#REF!</f>
        <v>#REF!</v>
      </c>
      <c r="BC94" s="1" t="e">
        <f>BC24-#REF!</f>
        <v>#REF!</v>
      </c>
      <c r="BD94" s="1" t="e">
        <f>BD24-#REF!</f>
        <v>#REF!</v>
      </c>
      <c r="BE94" s="1" t="e">
        <f>BE24-#REF!</f>
        <v>#REF!</v>
      </c>
      <c r="BF94" s="1" t="e">
        <f>BF24-#REF!</f>
        <v>#REF!</v>
      </c>
      <c r="BG94" s="1" t="e">
        <f>BG24-#REF!</f>
        <v>#REF!</v>
      </c>
      <c r="BH94" s="1" t="e">
        <f>BH24-#REF!</f>
        <v>#REF!</v>
      </c>
      <c r="BI94" s="1" t="e">
        <f>BI24-#REF!</f>
        <v>#REF!</v>
      </c>
      <c r="BJ94" s="1" t="e">
        <f>BJ24-#REF!</f>
        <v>#REF!</v>
      </c>
      <c r="BK94" s="1" t="e">
        <f>BK24-#REF!</f>
        <v>#REF!</v>
      </c>
      <c r="BL94" s="1" t="e">
        <f>BL24-#REF!</f>
        <v>#REF!</v>
      </c>
      <c r="BM94" s="1" t="e">
        <f>BM24-#REF!</f>
        <v>#REF!</v>
      </c>
      <c r="BN94" s="1" t="e">
        <f>BN24-#REF!</f>
        <v>#REF!</v>
      </c>
      <c r="BO94" s="1" t="e">
        <f>BO24-#REF!</f>
        <v>#REF!</v>
      </c>
      <c r="BP94" s="1" t="e">
        <f>BP24-#REF!</f>
        <v>#REF!</v>
      </c>
      <c r="BQ94" s="1" t="e">
        <f>BQ24-#REF!</f>
        <v>#REF!</v>
      </c>
      <c r="BR94" s="1" t="e">
        <f>BR24-#REF!</f>
        <v>#REF!</v>
      </c>
      <c r="BS94" s="1" t="e">
        <f>BS24-#REF!</f>
        <v>#REF!</v>
      </c>
      <c r="BT94" s="1" t="e">
        <f>BT24-#REF!</f>
        <v>#REF!</v>
      </c>
      <c r="BU94" s="1" t="e">
        <f>BU24-#REF!</f>
        <v>#REF!</v>
      </c>
    </row>
    <row r="95" spans="3:75" hidden="1" x14ac:dyDescent="0.2">
      <c r="M95" s="1" t="e">
        <f>M25-#REF!</f>
        <v>#REF!</v>
      </c>
      <c r="N95" s="1" t="e">
        <f>N25-#REF!</f>
        <v>#REF!</v>
      </c>
      <c r="O95" s="1" t="e">
        <f>O25-#REF!</f>
        <v>#REF!</v>
      </c>
      <c r="P95" s="1" t="e">
        <f>P25-#REF!</f>
        <v>#REF!</v>
      </c>
      <c r="Q95" s="1" t="e">
        <f>Q25-#REF!</f>
        <v>#REF!</v>
      </c>
      <c r="R95" s="1" t="e">
        <f>R25-#REF!</f>
        <v>#REF!</v>
      </c>
      <c r="S95" s="1" t="e">
        <f>S25-#REF!</f>
        <v>#REF!</v>
      </c>
      <c r="T95" s="1" t="e">
        <f>T25-#REF!</f>
        <v>#REF!</v>
      </c>
      <c r="U95" s="1" t="e">
        <f>U25-#REF!</f>
        <v>#REF!</v>
      </c>
      <c r="V95" s="1" t="e">
        <f>V25-#REF!</f>
        <v>#REF!</v>
      </c>
      <c r="W95" s="1" t="e">
        <f>W25-#REF!</f>
        <v>#REF!</v>
      </c>
      <c r="X95" s="1" t="e">
        <f>X25-#REF!</f>
        <v>#REF!</v>
      </c>
      <c r="Y95" s="1" t="e">
        <f>Y25-#REF!</f>
        <v>#REF!</v>
      </c>
      <c r="Z95" s="1" t="e">
        <f>Z25-#REF!</f>
        <v>#REF!</v>
      </c>
      <c r="AA95" s="1" t="e">
        <f>AA25-#REF!</f>
        <v>#REF!</v>
      </c>
      <c r="AB95" s="1" t="e">
        <f>AB25-#REF!</f>
        <v>#REF!</v>
      </c>
      <c r="AC95" s="1" t="e">
        <f>AC25-#REF!</f>
        <v>#REF!</v>
      </c>
      <c r="AD95" s="1" t="e">
        <f>AD25-#REF!</f>
        <v>#REF!</v>
      </c>
      <c r="AE95" s="1" t="e">
        <f>AE25-#REF!</f>
        <v>#REF!</v>
      </c>
      <c r="AF95" s="1" t="e">
        <f>AF25-#REF!</f>
        <v>#REF!</v>
      </c>
      <c r="AG95" s="1" t="e">
        <f>AG25-#REF!</f>
        <v>#REF!</v>
      </c>
      <c r="AH95" s="1" t="e">
        <f>AH25-#REF!</f>
        <v>#REF!</v>
      </c>
      <c r="AI95" s="1" t="e">
        <f>AI25-#REF!</f>
        <v>#REF!</v>
      </c>
      <c r="AJ95" s="1" t="e">
        <f>AJ25-#REF!</f>
        <v>#REF!</v>
      </c>
      <c r="AK95" s="1" t="e">
        <f>AK25-#REF!</f>
        <v>#REF!</v>
      </c>
      <c r="AL95" s="1" t="e">
        <f>AL25-#REF!</f>
        <v>#REF!</v>
      </c>
      <c r="AM95" s="1" t="e">
        <f>AM25-#REF!</f>
        <v>#REF!</v>
      </c>
      <c r="AN95" s="1" t="e">
        <f>AN25-#REF!</f>
        <v>#REF!</v>
      </c>
      <c r="AO95" s="1" t="e">
        <f>AO25-#REF!</f>
        <v>#REF!</v>
      </c>
      <c r="AP95" s="1" t="e">
        <f>AP25-#REF!</f>
        <v>#REF!</v>
      </c>
      <c r="AQ95" s="1" t="e">
        <f>AQ25-#REF!</f>
        <v>#REF!</v>
      </c>
      <c r="AR95" s="1" t="e">
        <f>AR25-#REF!</f>
        <v>#REF!</v>
      </c>
      <c r="AS95" s="1" t="e">
        <f>AS25-#REF!</f>
        <v>#REF!</v>
      </c>
      <c r="AT95" s="1" t="e">
        <f>AT25-#REF!</f>
        <v>#REF!</v>
      </c>
      <c r="AU95" s="1" t="e">
        <f>AU25-#REF!</f>
        <v>#REF!</v>
      </c>
      <c r="AV95" s="1" t="e">
        <f>AV25-#REF!</f>
        <v>#REF!</v>
      </c>
      <c r="AW95" s="1" t="e">
        <f>AW25-#REF!</f>
        <v>#REF!</v>
      </c>
      <c r="AX95" s="1" t="e">
        <f>AX25-#REF!</f>
        <v>#REF!</v>
      </c>
      <c r="AY95" s="1" t="e">
        <f>AY25-#REF!</f>
        <v>#REF!</v>
      </c>
      <c r="AZ95" s="1" t="e">
        <f>AZ25-#REF!</f>
        <v>#REF!</v>
      </c>
      <c r="BA95" s="1" t="e">
        <f>BA25-#REF!</f>
        <v>#REF!</v>
      </c>
      <c r="BB95" s="1" t="e">
        <f>BB25-#REF!</f>
        <v>#REF!</v>
      </c>
      <c r="BC95" s="1" t="e">
        <f>BC25-#REF!</f>
        <v>#REF!</v>
      </c>
      <c r="BD95" s="1" t="e">
        <f>BD25-#REF!</f>
        <v>#REF!</v>
      </c>
      <c r="BE95" s="1" t="e">
        <f>BE25-#REF!</f>
        <v>#REF!</v>
      </c>
      <c r="BF95" s="1" t="e">
        <f>BF25-#REF!</f>
        <v>#REF!</v>
      </c>
      <c r="BG95" s="1" t="e">
        <f>BG25-#REF!</f>
        <v>#REF!</v>
      </c>
      <c r="BH95" s="1" t="e">
        <f>BH25-#REF!</f>
        <v>#REF!</v>
      </c>
      <c r="BI95" s="1" t="e">
        <f>BI25-#REF!</f>
        <v>#REF!</v>
      </c>
      <c r="BJ95" s="1" t="e">
        <f>BJ25-#REF!</f>
        <v>#REF!</v>
      </c>
      <c r="BK95" s="1" t="e">
        <f>BK25-#REF!</f>
        <v>#REF!</v>
      </c>
      <c r="BL95" s="1" t="e">
        <f>BL25-#REF!</f>
        <v>#REF!</v>
      </c>
      <c r="BM95" s="1" t="e">
        <f>BM25-#REF!</f>
        <v>#REF!</v>
      </c>
      <c r="BN95" s="1" t="e">
        <f>BN25-#REF!</f>
        <v>#REF!</v>
      </c>
      <c r="BO95" s="1" t="e">
        <f>BO25-#REF!</f>
        <v>#REF!</v>
      </c>
      <c r="BP95" s="1" t="e">
        <f>BP25-#REF!</f>
        <v>#REF!</v>
      </c>
      <c r="BQ95" s="1" t="e">
        <f>BQ25-#REF!</f>
        <v>#REF!</v>
      </c>
      <c r="BR95" s="1" t="e">
        <f>BR25-#REF!</f>
        <v>#REF!</v>
      </c>
      <c r="BS95" s="1" t="e">
        <f>BS25-#REF!</f>
        <v>#REF!</v>
      </c>
      <c r="BT95" s="1" t="e">
        <f>BT25-#REF!</f>
        <v>#REF!</v>
      </c>
      <c r="BU95" s="1" t="e">
        <f>BU25-#REF!</f>
        <v>#REF!</v>
      </c>
    </row>
    <row r="96" spans="3:75" hidden="1" x14ac:dyDescent="0.2">
      <c r="M96" s="1" t="e">
        <f>M26-#REF!</f>
        <v>#REF!</v>
      </c>
      <c r="N96" s="1" t="e">
        <f>N26-#REF!</f>
        <v>#REF!</v>
      </c>
      <c r="O96" s="1" t="e">
        <f>O26-#REF!</f>
        <v>#REF!</v>
      </c>
      <c r="P96" s="1" t="e">
        <f>P26-#REF!</f>
        <v>#REF!</v>
      </c>
      <c r="Q96" s="1" t="e">
        <f>Q26-#REF!</f>
        <v>#REF!</v>
      </c>
      <c r="R96" s="1" t="e">
        <f>R26-#REF!</f>
        <v>#REF!</v>
      </c>
      <c r="S96" s="1" t="e">
        <f>S26-#REF!</f>
        <v>#REF!</v>
      </c>
      <c r="T96" s="1" t="e">
        <f>T26-#REF!</f>
        <v>#REF!</v>
      </c>
      <c r="U96" s="1" t="e">
        <f>U26-#REF!</f>
        <v>#REF!</v>
      </c>
      <c r="V96" s="1" t="e">
        <f>V26-#REF!</f>
        <v>#REF!</v>
      </c>
      <c r="W96" s="1" t="e">
        <f>W26-#REF!</f>
        <v>#REF!</v>
      </c>
      <c r="X96" s="1" t="e">
        <f>X26-#REF!</f>
        <v>#REF!</v>
      </c>
      <c r="Y96" s="1" t="e">
        <f>Y26-#REF!</f>
        <v>#REF!</v>
      </c>
      <c r="Z96" s="1" t="e">
        <f>Z26-#REF!</f>
        <v>#REF!</v>
      </c>
      <c r="AA96" s="1" t="e">
        <f>AA26-#REF!</f>
        <v>#REF!</v>
      </c>
      <c r="AB96" s="1" t="e">
        <f>AB26-#REF!</f>
        <v>#REF!</v>
      </c>
      <c r="AC96" s="1" t="e">
        <f>AC26-#REF!</f>
        <v>#REF!</v>
      </c>
      <c r="AD96" s="1" t="e">
        <f>AD26-#REF!</f>
        <v>#REF!</v>
      </c>
      <c r="AE96" s="1" t="e">
        <f>AE26-#REF!</f>
        <v>#REF!</v>
      </c>
      <c r="AF96" s="1" t="e">
        <f>AF26-#REF!</f>
        <v>#REF!</v>
      </c>
      <c r="AG96" s="1" t="e">
        <f>AG26-#REF!</f>
        <v>#REF!</v>
      </c>
      <c r="AH96" s="1" t="e">
        <f>AH26-#REF!</f>
        <v>#REF!</v>
      </c>
      <c r="AI96" s="1" t="e">
        <f>AI26-#REF!</f>
        <v>#REF!</v>
      </c>
      <c r="AJ96" s="1" t="e">
        <f>AJ26-#REF!</f>
        <v>#REF!</v>
      </c>
      <c r="AK96" s="1" t="e">
        <f>AK26-#REF!</f>
        <v>#REF!</v>
      </c>
      <c r="AL96" s="1" t="e">
        <f>AL26-#REF!</f>
        <v>#REF!</v>
      </c>
      <c r="AM96" s="1" t="e">
        <f>AM26-#REF!</f>
        <v>#REF!</v>
      </c>
      <c r="AN96" s="1" t="e">
        <f>AN26-#REF!</f>
        <v>#REF!</v>
      </c>
      <c r="AO96" s="1" t="e">
        <f>AO26-#REF!</f>
        <v>#REF!</v>
      </c>
      <c r="AP96" s="1" t="e">
        <f>AP26-#REF!</f>
        <v>#REF!</v>
      </c>
      <c r="AQ96" s="1" t="e">
        <f>AQ26-#REF!</f>
        <v>#REF!</v>
      </c>
      <c r="AR96" s="1" t="e">
        <f>AR26-#REF!</f>
        <v>#REF!</v>
      </c>
      <c r="AS96" s="1" t="e">
        <f>AS26-#REF!</f>
        <v>#REF!</v>
      </c>
      <c r="AT96" s="1" t="e">
        <f>AT26-#REF!</f>
        <v>#REF!</v>
      </c>
      <c r="AU96" s="1" t="e">
        <f>AU26-#REF!</f>
        <v>#REF!</v>
      </c>
      <c r="AV96" s="1" t="e">
        <f>AV26-#REF!</f>
        <v>#REF!</v>
      </c>
      <c r="AW96" s="1" t="e">
        <f>AW26-#REF!</f>
        <v>#REF!</v>
      </c>
      <c r="AX96" s="1" t="e">
        <f>AX26-#REF!</f>
        <v>#REF!</v>
      </c>
      <c r="AY96" s="1" t="e">
        <f>AY26-#REF!</f>
        <v>#REF!</v>
      </c>
      <c r="AZ96" s="1" t="e">
        <f>AZ26-#REF!</f>
        <v>#REF!</v>
      </c>
      <c r="BA96" s="1" t="e">
        <f>BA26-#REF!</f>
        <v>#REF!</v>
      </c>
      <c r="BB96" s="1" t="e">
        <f>BB26-#REF!</f>
        <v>#REF!</v>
      </c>
      <c r="BC96" s="1" t="e">
        <f>BC26-#REF!</f>
        <v>#REF!</v>
      </c>
      <c r="BD96" s="1" t="e">
        <f>BD26-#REF!</f>
        <v>#REF!</v>
      </c>
      <c r="BE96" s="1" t="e">
        <f>BE26-#REF!</f>
        <v>#REF!</v>
      </c>
      <c r="BF96" s="1" t="e">
        <f>BF26-#REF!</f>
        <v>#REF!</v>
      </c>
      <c r="BG96" s="1" t="e">
        <f>BG26-#REF!</f>
        <v>#REF!</v>
      </c>
      <c r="BH96" s="1" t="e">
        <f>BH26-#REF!</f>
        <v>#REF!</v>
      </c>
      <c r="BI96" s="1" t="e">
        <f>BI26-#REF!</f>
        <v>#REF!</v>
      </c>
      <c r="BJ96" s="1" t="e">
        <f>BJ26-#REF!</f>
        <v>#REF!</v>
      </c>
      <c r="BK96" s="1" t="e">
        <f>BK26-#REF!</f>
        <v>#REF!</v>
      </c>
      <c r="BL96" s="1" t="e">
        <f>BL26-#REF!</f>
        <v>#REF!</v>
      </c>
      <c r="BM96" s="1" t="e">
        <f>BM26-#REF!</f>
        <v>#REF!</v>
      </c>
      <c r="BN96" s="1" t="e">
        <f>BN26-#REF!</f>
        <v>#REF!</v>
      </c>
      <c r="BO96" s="1" t="e">
        <f>BO26-#REF!</f>
        <v>#REF!</v>
      </c>
      <c r="BP96" s="1" t="e">
        <f>BP26-#REF!</f>
        <v>#REF!</v>
      </c>
      <c r="BQ96" s="1" t="e">
        <f>BQ26-#REF!</f>
        <v>#REF!</v>
      </c>
      <c r="BR96" s="1" t="e">
        <f>BR26-#REF!</f>
        <v>#REF!</v>
      </c>
      <c r="BS96" s="1" t="e">
        <f>BS26-#REF!</f>
        <v>#REF!</v>
      </c>
      <c r="BT96" s="1" t="e">
        <f>BT26-#REF!</f>
        <v>#REF!</v>
      </c>
      <c r="BU96" s="1" t="e">
        <f>BU26-#REF!</f>
        <v>#REF!</v>
      </c>
      <c r="BW96" s="1">
        <f>-[54]domredemp!BV98</f>
        <v>0</v>
      </c>
    </row>
    <row r="97" spans="13:75" hidden="1" x14ac:dyDescent="0.2">
      <c r="M97" s="1" t="e">
        <f>#REF!-#REF!</f>
        <v>#REF!</v>
      </c>
      <c r="N97" s="1" t="e">
        <f>#REF!-#REF!</f>
        <v>#REF!</v>
      </c>
      <c r="O97" s="1" t="e">
        <f>#REF!-#REF!</f>
        <v>#REF!</v>
      </c>
      <c r="P97" s="1" t="e">
        <f>#REF!-#REF!</f>
        <v>#REF!</v>
      </c>
      <c r="Q97" s="1" t="e">
        <f>#REF!-#REF!</f>
        <v>#REF!</v>
      </c>
      <c r="R97" s="1" t="e">
        <f>#REF!-#REF!</f>
        <v>#REF!</v>
      </c>
      <c r="S97" s="1" t="e">
        <f>#REF!-#REF!</f>
        <v>#REF!</v>
      </c>
      <c r="T97" s="1" t="e">
        <f>#REF!-#REF!</f>
        <v>#REF!</v>
      </c>
      <c r="U97" s="1" t="e">
        <f>#REF!-#REF!</f>
        <v>#REF!</v>
      </c>
      <c r="V97" s="1" t="e">
        <f>#REF!-#REF!</f>
        <v>#REF!</v>
      </c>
      <c r="W97" s="1" t="e">
        <f>#REF!-#REF!</f>
        <v>#REF!</v>
      </c>
      <c r="X97" s="1" t="e">
        <f>#REF!-#REF!</f>
        <v>#REF!</v>
      </c>
      <c r="Y97" s="1" t="e">
        <f>#REF!-#REF!</f>
        <v>#REF!</v>
      </c>
      <c r="Z97" s="1" t="e">
        <f>#REF!-#REF!</f>
        <v>#REF!</v>
      </c>
      <c r="AA97" s="1" t="e">
        <f>#REF!-#REF!</f>
        <v>#REF!</v>
      </c>
      <c r="AB97" s="1" t="e">
        <f>#REF!-#REF!</f>
        <v>#REF!</v>
      </c>
      <c r="AC97" s="1" t="e">
        <f>#REF!-#REF!</f>
        <v>#REF!</v>
      </c>
      <c r="AD97" s="1" t="e">
        <f>#REF!-#REF!</f>
        <v>#REF!</v>
      </c>
      <c r="AE97" s="1" t="e">
        <f>#REF!-#REF!</f>
        <v>#REF!</v>
      </c>
      <c r="AF97" s="1" t="e">
        <f>#REF!-#REF!</f>
        <v>#REF!</v>
      </c>
      <c r="AG97" s="1" t="e">
        <f>#REF!-#REF!</f>
        <v>#REF!</v>
      </c>
      <c r="AH97" s="1" t="e">
        <f>#REF!-#REF!</f>
        <v>#REF!</v>
      </c>
      <c r="AI97" s="1" t="e">
        <f>#REF!-#REF!</f>
        <v>#REF!</v>
      </c>
      <c r="AJ97" s="1" t="e">
        <f>#REF!-#REF!</f>
        <v>#REF!</v>
      </c>
      <c r="AK97" s="1" t="e">
        <f>#REF!-#REF!</f>
        <v>#REF!</v>
      </c>
      <c r="AL97" s="1" t="e">
        <f>#REF!-#REF!</f>
        <v>#REF!</v>
      </c>
      <c r="AM97" s="1" t="e">
        <f>#REF!-#REF!</f>
        <v>#REF!</v>
      </c>
      <c r="AN97" s="1" t="e">
        <f>#REF!-#REF!</f>
        <v>#REF!</v>
      </c>
      <c r="AO97" s="1" t="e">
        <f>#REF!-#REF!</f>
        <v>#REF!</v>
      </c>
      <c r="AP97" s="1" t="e">
        <f>#REF!-#REF!</f>
        <v>#REF!</v>
      </c>
      <c r="AQ97" s="1" t="e">
        <f>#REF!-#REF!</f>
        <v>#REF!</v>
      </c>
      <c r="AR97" s="1" t="e">
        <f>#REF!-#REF!</f>
        <v>#REF!</v>
      </c>
      <c r="AS97" s="1" t="e">
        <f>#REF!-#REF!</f>
        <v>#REF!</v>
      </c>
      <c r="AT97" s="1" t="e">
        <f>#REF!-#REF!</f>
        <v>#REF!</v>
      </c>
      <c r="AU97" s="1" t="e">
        <f>#REF!-#REF!</f>
        <v>#REF!</v>
      </c>
      <c r="AV97" s="1" t="e">
        <f>#REF!-#REF!</f>
        <v>#REF!</v>
      </c>
      <c r="AW97" s="1" t="e">
        <f>#REF!-#REF!</f>
        <v>#REF!</v>
      </c>
      <c r="AX97" s="1" t="e">
        <f>#REF!-#REF!</f>
        <v>#REF!</v>
      </c>
      <c r="AY97" s="1" t="e">
        <f>#REF!-#REF!</f>
        <v>#REF!</v>
      </c>
      <c r="AZ97" s="1" t="e">
        <f>#REF!-#REF!</f>
        <v>#REF!</v>
      </c>
      <c r="BA97" s="1" t="e">
        <f>#REF!-#REF!</f>
        <v>#REF!</v>
      </c>
      <c r="BB97" s="1" t="e">
        <f>#REF!-#REF!</f>
        <v>#REF!</v>
      </c>
      <c r="BC97" s="1" t="e">
        <f>#REF!-#REF!</f>
        <v>#REF!</v>
      </c>
      <c r="BD97" s="1" t="e">
        <f>#REF!-#REF!</f>
        <v>#REF!</v>
      </c>
      <c r="BE97" s="1" t="e">
        <f>#REF!-#REF!</f>
        <v>#REF!</v>
      </c>
      <c r="BF97" s="1" t="e">
        <f>#REF!-#REF!</f>
        <v>#REF!</v>
      </c>
      <c r="BG97" s="1" t="e">
        <f>#REF!-#REF!</f>
        <v>#REF!</v>
      </c>
      <c r="BH97" s="1" t="e">
        <f>#REF!-#REF!</f>
        <v>#REF!</v>
      </c>
      <c r="BI97" s="1" t="e">
        <f>#REF!-#REF!</f>
        <v>#REF!</v>
      </c>
      <c r="BJ97" s="1" t="e">
        <f>#REF!-#REF!</f>
        <v>#REF!</v>
      </c>
      <c r="BK97" s="1" t="e">
        <f>#REF!-#REF!</f>
        <v>#REF!</v>
      </c>
      <c r="BL97" s="1" t="e">
        <f>#REF!-#REF!</f>
        <v>#REF!</v>
      </c>
      <c r="BM97" s="1" t="e">
        <f>#REF!-#REF!</f>
        <v>#REF!</v>
      </c>
      <c r="BN97" s="1" t="e">
        <f>#REF!-#REF!</f>
        <v>#REF!</v>
      </c>
      <c r="BO97" s="1" t="e">
        <f>#REF!-#REF!</f>
        <v>#REF!</v>
      </c>
      <c r="BP97" s="1" t="e">
        <f>#REF!-#REF!</f>
        <v>#REF!</v>
      </c>
      <c r="BQ97" s="1" t="e">
        <f>#REF!-#REF!</f>
        <v>#REF!</v>
      </c>
      <c r="BR97" s="1" t="e">
        <f>#REF!-#REF!</f>
        <v>#REF!</v>
      </c>
      <c r="BS97" s="1" t="e">
        <f>#REF!-#REF!</f>
        <v>#REF!</v>
      </c>
      <c r="BT97" s="1" t="e">
        <f>#REF!-#REF!</f>
        <v>#REF!</v>
      </c>
      <c r="BU97" s="1" t="e">
        <f>#REF!-#REF!</f>
        <v>#REF!</v>
      </c>
      <c r="BW97" s="1">
        <f>-[54]domredemp!BV101+[54]domredemp!BV211</f>
        <v>0</v>
      </c>
    </row>
    <row r="98" spans="13:75" hidden="1" x14ac:dyDescent="0.2">
      <c r="M98" s="1" t="e">
        <f>M27-#REF!</f>
        <v>#REF!</v>
      </c>
      <c r="N98" s="1" t="e">
        <f>N27-#REF!</f>
        <v>#REF!</v>
      </c>
      <c r="O98" s="1" t="e">
        <f>O27-#REF!</f>
        <v>#REF!</v>
      </c>
      <c r="P98" s="1" t="e">
        <f>P27-#REF!</f>
        <v>#REF!</v>
      </c>
      <c r="Q98" s="1" t="e">
        <f>Q27-#REF!</f>
        <v>#REF!</v>
      </c>
      <c r="R98" s="1" t="e">
        <f>R27-#REF!</f>
        <v>#REF!</v>
      </c>
      <c r="S98" s="1" t="e">
        <f>S27-#REF!</f>
        <v>#REF!</v>
      </c>
      <c r="T98" s="1" t="e">
        <f>T27-#REF!</f>
        <v>#REF!</v>
      </c>
      <c r="U98" s="1" t="e">
        <f>U27-#REF!</f>
        <v>#REF!</v>
      </c>
      <c r="V98" s="1" t="e">
        <f>V27-#REF!</f>
        <v>#REF!</v>
      </c>
      <c r="W98" s="1" t="e">
        <f>W27-#REF!</f>
        <v>#REF!</v>
      </c>
      <c r="X98" s="1" t="e">
        <f>X27-#REF!</f>
        <v>#REF!</v>
      </c>
      <c r="Y98" s="1" t="e">
        <f>Y27-#REF!</f>
        <v>#REF!</v>
      </c>
      <c r="Z98" s="1" t="e">
        <f>Z27-#REF!</f>
        <v>#REF!</v>
      </c>
      <c r="AA98" s="1" t="e">
        <f>AA27-#REF!</f>
        <v>#REF!</v>
      </c>
      <c r="AB98" s="1" t="e">
        <f>AB27-#REF!</f>
        <v>#REF!</v>
      </c>
      <c r="AC98" s="1" t="e">
        <f>AC27-#REF!</f>
        <v>#REF!</v>
      </c>
      <c r="AD98" s="1" t="e">
        <f>AD27-#REF!</f>
        <v>#REF!</v>
      </c>
      <c r="AE98" s="1" t="e">
        <f>AE27-#REF!</f>
        <v>#REF!</v>
      </c>
      <c r="AF98" s="1" t="e">
        <f>AF27-#REF!</f>
        <v>#REF!</v>
      </c>
      <c r="AG98" s="1" t="e">
        <f>AG27-#REF!</f>
        <v>#REF!</v>
      </c>
      <c r="AH98" s="1" t="e">
        <f>AH27-#REF!</f>
        <v>#REF!</v>
      </c>
      <c r="AI98" s="1" t="e">
        <f>AI27-#REF!</f>
        <v>#REF!</v>
      </c>
      <c r="AJ98" s="1" t="e">
        <f>AJ27-#REF!</f>
        <v>#REF!</v>
      </c>
      <c r="AK98" s="1" t="e">
        <f>AK27-#REF!</f>
        <v>#REF!</v>
      </c>
      <c r="AL98" s="1" t="e">
        <f>AL27-#REF!</f>
        <v>#REF!</v>
      </c>
      <c r="AM98" s="1" t="e">
        <f>AM27-#REF!</f>
        <v>#REF!</v>
      </c>
      <c r="AN98" s="1" t="e">
        <f>AN27-#REF!</f>
        <v>#REF!</v>
      </c>
      <c r="AO98" s="1" t="e">
        <f>AO27-#REF!</f>
        <v>#REF!</v>
      </c>
      <c r="AP98" s="1" t="e">
        <f>AP27-#REF!</f>
        <v>#REF!</v>
      </c>
      <c r="AQ98" s="1" t="e">
        <f>AQ27-#REF!</f>
        <v>#REF!</v>
      </c>
      <c r="AR98" s="1" t="e">
        <f>AR27-#REF!</f>
        <v>#REF!</v>
      </c>
      <c r="AS98" s="1" t="e">
        <f>AS27-#REF!</f>
        <v>#REF!</v>
      </c>
      <c r="AT98" s="1" t="e">
        <f>AT27-#REF!</f>
        <v>#REF!</v>
      </c>
      <c r="AU98" s="1" t="e">
        <f>AU27-#REF!</f>
        <v>#REF!</v>
      </c>
      <c r="AV98" s="1" t="e">
        <f>AV27-#REF!</f>
        <v>#REF!</v>
      </c>
      <c r="AW98" s="1" t="e">
        <f>AW27-#REF!</f>
        <v>#REF!</v>
      </c>
      <c r="AX98" s="1" t="e">
        <f>AX27-#REF!</f>
        <v>#REF!</v>
      </c>
      <c r="AY98" s="1" t="e">
        <f>AY27-#REF!</f>
        <v>#REF!</v>
      </c>
      <c r="AZ98" s="1" t="e">
        <f>AZ27-#REF!</f>
        <v>#REF!</v>
      </c>
      <c r="BA98" s="1" t="e">
        <f>BA27-#REF!</f>
        <v>#REF!</v>
      </c>
      <c r="BB98" s="1" t="e">
        <f>BB27-#REF!</f>
        <v>#REF!</v>
      </c>
      <c r="BC98" s="1" t="e">
        <f>BC27-#REF!</f>
        <v>#REF!</v>
      </c>
      <c r="BD98" s="1" t="e">
        <f>BD27-#REF!</f>
        <v>#REF!</v>
      </c>
      <c r="BE98" s="1" t="e">
        <f>BE27-#REF!</f>
        <v>#REF!</v>
      </c>
      <c r="BF98" s="1" t="e">
        <f>BF27-#REF!</f>
        <v>#REF!</v>
      </c>
      <c r="BG98" s="1" t="e">
        <f>BG27-#REF!</f>
        <v>#REF!</v>
      </c>
      <c r="BH98" s="1" t="e">
        <f>BH27-#REF!</f>
        <v>#REF!</v>
      </c>
      <c r="BI98" s="1" t="e">
        <f>BI27-#REF!</f>
        <v>#REF!</v>
      </c>
      <c r="BJ98" s="1" t="e">
        <f>BJ27-#REF!</f>
        <v>#REF!</v>
      </c>
      <c r="BK98" s="1" t="e">
        <f>BK27-#REF!</f>
        <v>#REF!</v>
      </c>
      <c r="BL98" s="1" t="e">
        <f>BL27-#REF!</f>
        <v>#REF!</v>
      </c>
      <c r="BM98" s="1" t="e">
        <f>BM27-#REF!</f>
        <v>#REF!</v>
      </c>
      <c r="BN98" s="1" t="e">
        <f>BN27-#REF!</f>
        <v>#REF!</v>
      </c>
      <c r="BO98" s="1" t="e">
        <f>BO27-#REF!</f>
        <v>#REF!</v>
      </c>
      <c r="BP98" s="1" t="e">
        <f>BP27-#REF!</f>
        <v>#REF!</v>
      </c>
      <c r="BQ98" s="1" t="e">
        <f>BQ27-#REF!</f>
        <v>#REF!</v>
      </c>
      <c r="BR98" s="1" t="e">
        <f>BR27-#REF!</f>
        <v>#REF!</v>
      </c>
      <c r="BS98" s="1" t="e">
        <f>BS27-#REF!</f>
        <v>#REF!</v>
      </c>
      <c r="BT98" s="1" t="e">
        <f>BT27-#REF!</f>
        <v>#REF!</v>
      </c>
      <c r="BU98" s="1" t="e">
        <f>BU27-#REF!</f>
        <v>#REF!</v>
      </c>
    </row>
    <row r="99" spans="13:75" hidden="1" x14ac:dyDescent="0.2">
      <c r="M99" s="1" t="e">
        <f>M28-#REF!</f>
        <v>#REF!</v>
      </c>
      <c r="N99" s="1" t="e">
        <f>N28-#REF!</f>
        <v>#REF!</v>
      </c>
      <c r="O99" s="1" t="e">
        <f>O28-#REF!</f>
        <v>#REF!</v>
      </c>
      <c r="P99" s="1" t="e">
        <f>P28-#REF!</f>
        <v>#REF!</v>
      </c>
      <c r="Q99" s="1" t="e">
        <f>Q28-#REF!</f>
        <v>#REF!</v>
      </c>
      <c r="R99" s="1" t="e">
        <f>R28-#REF!</f>
        <v>#REF!</v>
      </c>
      <c r="S99" s="1" t="e">
        <f>S28-#REF!</f>
        <v>#REF!</v>
      </c>
      <c r="T99" s="1" t="e">
        <f>T28-#REF!</f>
        <v>#REF!</v>
      </c>
      <c r="U99" s="1" t="e">
        <f>U28-#REF!</f>
        <v>#REF!</v>
      </c>
      <c r="V99" s="1" t="e">
        <f>V28-#REF!</f>
        <v>#REF!</v>
      </c>
      <c r="W99" s="1" t="e">
        <f>W28-#REF!</f>
        <v>#REF!</v>
      </c>
      <c r="X99" s="1" t="e">
        <f>X28-#REF!</f>
        <v>#REF!</v>
      </c>
      <c r="Y99" s="1" t="e">
        <f>Y28-#REF!</f>
        <v>#REF!</v>
      </c>
      <c r="Z99" s="1" t="e">
        <f>Z28-#REF!</f>
        <v>#REF!</v>
      </c>
      <c r="AA99" s="1" t="e">
        <f>AA28-#REF!</f>
        <v>#REF!</v>
      </c>
      <c r="AB99" s="1" t="e">
        <f>AB28-#REF!</f>
        <v>#REF!</v>
      </c>
      <c r="AC99" s="1" t="e">
        <f>AC28-#REF!</f>
        <v>#REF!</v>
      </c>
      <c r="AD99" s="1" t="e">
        <f>AD28-#REF!</f>
        <v>#REF!</v>
      </c>
      <c r="AE99" s="1" t="e">
        <f>AE28-#REF!</f>
        <v>#REF!</v>
      </c>
      <c r="AF99" s="1" t="e">
        <f>AF28-#REF!</f>
        <v>#REF!</v>
      </c>
      <c r="AG99" s="1" t="e">
        <f>AG28-#REF!</f>
        <v>#REF!</v>
      </c>
      <c r="AH99" s="1" t="e">
        <f>AH28-#REF!</f>
        <v>#REF!</v>
      </c>
      <c r="AI99" s="1" t="e">
        <f>AI28-#REF!</f>
        <v>#REF!</v>
      </c>
      <c r="AJ99" s="1" t="e">
        <f>AJ28-#REF!</f>
        <v>#REF!</v>
      </c>
      <c r="AK99" s="1" t="e">
        <f>AK28-#REF!</f>
        <v>#REF!</v>
      </c>
      <c r="AL99" s="1" t="e">
        <f>AL28-#REF!</f>
        <v>#REF!</v>
      </c>
      <c r="AM99" s="1" t="e">
        <f>AM28-#REF!</f>
        <v>#REF!</v>
      </c>
      <c r="AN99" s="1" t="e">
        <f>AN28-#REF!</f>
        <v>#REF!</v>
      </c>
      <c r="AO99" s="1" t="e">
        <f>AO28-#REF!</f>
        <v>#REF!</v>
      </c>
      <c r="AP99" s="1" t="e">
        <f>AP28-#REF!</f>
        <v>#REF!</v>
      </c>
      <c r="AQ99" s="1" t="e">
        <f>AQ28-#REF!</f>
        <v>#REF!</v>
      </c>
      <c r="AR99" s="1" t="e">
        <f>AR28-#REF!</f>
        <v>#REF!</v>
      </c>
      <c r="AS99" s="1" t="e">
        <f>AS28-#REF!</f>
        <v>#REF!</v>
      </c>
      <c r="AT99" s="1" t="e">
        <f>AT28-#REF!</f>
        <v>#REF!</v>
      </c>
      <c r="AU99" s="1" t="e">
        <f>AU28-#REF!</f>
        <v>#REF!</v>
      </c>
      <c r="AV99" s="1" t="e">
        <f>AV28-#REF!</f>
        <v>#REF!</v>
      </c>
      <c r="AW99" s="1" t="e">
        <f>AW28-#REF!</f>
        <v>#REF!</v>
      </c>
      <c r="AX99" s="1" t="e">
        <f>AX28-#REF!</f>
        <v>#REF!</v>
      </c>
      <c r="AY99" s="1" t="e">
        <f>AY28-#REF!</f>
        <v>#REF!</v>
      </c>
      <c r="AZ99" s="1" t="e">
        <f>AZ28-#REF!</f>
        <v>#REF!</v>
      </c>
      <c r="BA99" s="1" t="e">
        <f>BA28-#REF!</f>
        <v>#REF!</v>
      </c>
      <c r="BB99" s="1" t="e">
        <f>BB28-#REF!</f>
        <v>#REF!</v>
      </c>
      <c r="BC99" s="1" t="e">
        <f>BC28-#REF!</f>
        <v>#REF!</v>
      </c>
      <c r="BD99" s="1" t="e">
        <f>BD28-#REF!</f>
        <v>#REF!</v>
      </c>
      <c r="BE99" s="1" t="e">
        <f>BE28-#REF!</f>
        <v>#REF!</v>
      </c>
      <c r="BF99" s="1" t="e">
        <f>BF28-#REF!</f>
        <v>#REF!</v>
      </c>
      <c r="BG99" s="1" t="e">
        <f>BG28-#REF!</f>
        <v>#REF!</v>
      </c>
      <c r="BH99" s="1" t="e">
        <f>BH28-#REF!</f>
        <v>#REF!</v>
      </c>
      <c r="BI99" s="1" t="e">
        <f>BI28-#REF!</f>
        <v>#REF!</v>
      </c>
      <c r="BJ99" s="1" t="e">
        <f>BJ28-#REF!</f>
        <v>#REF!</v>
      </c>
      <c r="BK99" s="1" t="e">
        <f>BK28-#REF!</f>
        <v>#REF!</v>
      </c>
      <c r="BL99" s="1" t="e">
        <f>BL28-#REF!</f>
        <v>#REF!</v>
      </c>
      <c r="BM99" s="1" t="e">
        <f>BM28-#REF!</f>
        <v>#REF!</v>
      </c>
      <c r="BN99" s="1" t="e">
        <f>BN28-#REF!</f>
        <v>#REF!</v>
      </c>
      <c r="BO99" s="1" t="e">
        <f>BO28-#REF!</f>
        <v>#REF!</v>
      </c>
      <c r="BP99" s="1" t="e">
        <f>BP28-#REF!</f>
        <v>#REF!</v>
      </c>
      <c r="BQ99" s="1" t="e">
        <f>BQ28-#REF!</f>
        <v>#REF!</v>
      </c>
      <c r="BR99" s="1" t="e">
        <f>BR28-#REF!</f>
        <v>#REF!</v>
      </c>
      <c r="BS99" s="1" t="e">
        <f>BS28-#REF!</f>
        <v>#REF!</v>
      </c>
      <c r="BT99" s="1" t="e">
        <f>BT28-#REF!</f>
        <v>#REF!</v>
      </c>
      <c r="BU99" s="1" t="e">
        <f>BU28-#REF!</f>
        <v>#REF!</v>
      </c>
      <c r="BW99" s="1">
        <f>SUM(BW100:BW102)</f>
        <v>0</v>
      </c>
    </row>
    <row r="100" spans="13:75" hidden="1" x14ac:dyDescent="0.2">
      <c r="M100" s="1" t="e">
        <f>M29-#REF!</f>
        <v>#REF!</v>
      </c>
      <c r="N100" s="1" t="e">
        <f>N29-#REF!</f>
        <v>#REF!</v>
      </c>
      <c r="O100" s="1" t="e">
        <f>O29-#REF!</f>
        <v>#REF!</v>
      </c>
      <c r="P100" s="1" t="e">
        <f>P29-#REF!</f>
        <v>#REF!</v>
      </c>
      <c r="Q100" s="1" t="e">
        <f>Q29-#REF!</f>
        <v>#REF!</v>
      </c>
      <c r="R100" s="1" t="e">
        <f>R29-#REF!</f>
        <v>#REF!</v>
      </c>
      <c r="S100" s="1" t="e">
        <f>S29-#REF!</f>
        <v>#REF!</v>
      </c>
      <c r="T100" s="1" t="e">
        <f>T29-#REF!</f>
        <v>#REF!</v>
      </c>
      <c r="U100" s="1" t="e">
        <f>U29-#REF!</f>
        <v>#REF!</v>
      </c>
      <c r="V100" s="1" t="e">
        <f>V29-#REF!</f>
        <v>#REF!</v>
      </c>
      <c r="W100" s="1" t="e">
        <f>W29-#REF!</f>
        <v>#REF!</v>
      </c>
      <c r="X100" s="1" t="e">
        <f>X29-#REF!</f>
        <v>#REF!</v>
      </c>
      <c r="Y100" s="1" t="e">
        <f>Y29-#REF!</f>
        <v>#REF!</v>
      </c>
      <c r="Z100" s="1" t="e">
        <f>Z29-#REF!</f>
        <v>#REF!</v>
      </c>
      <c r="AA100" s="1" t="e">
        <f>AA29-#REF!</f>
        <v>#REF!</v>
      </c>
      <c r="AB100" s="1" t="e">
        <f>AB29-#REF!</f>
        <v>#REF!</v>
      </c>
      <c r="AC100" s="1" t="e">
        <f>AC29-#REF!</f>
        <v>#REF!</v>
      </c>
      <c r="AD100" s="1" t="e">
        <f>AD29-#REF!</f>
        <v>#REF!</v>
      </c>
      <c r="AE100" s="1" t="e">
        <f>AE29-#REF!</f>
        <v>#REF!</v>
      </c>
      <c r="AF100" s="1" t="e">
        <f>AF29-#REF!</f>
        <v>#REF!</v>
      </c>
      <c r="AG100" s="1" t="e">
        <f>AG29-#REF!</f>
        <v>#REF!</v>
      </c>
      <c r="AH100" s="1" t="e">
        <f>AH29-#REF!</f>
        <v>#REF!</v>
      </c>
      <c r="AI100" s="1" t="e">
        <f>AI29-#REF!</f>
        <v>#REF!</v>
      </c>
      <c r="AJ100" s="1" t="e">
        <f>AJ29-#REF!</f>
        <v>#REF!</v>
      </c>
      <c r="AK100" s="1" t="e">
        <f>AK29-#REF!</f>
        <v>#REF!</v>
      </c>
      <c r="AL100" s="1" t="e">
        <f>AL29-#REF!</f>
        <v>#REF!</v>
      </c>
      <c r="AM100" s="1" t="e">
        <f>AM29-#REF!</f>
        <v>#REF!</v>
      </c>
      <c r="AN100" s="1" t="e">
        <f>AN29-#REF!</f>
        <v>#REF!</v>
      </c>
      <c r="AO100" s="1" t="e">
        <f>AO29-#REF!</f>
        <v>#REF!</v>
      </c>
      <c r="AP100" s="1" t="e">
        <f>AP29-#REF!</f>
        <v>#REF!</v>
      </c>
      <c r="AQ100" s="1" t="e">
        <f>AQ29-#REF!</f>
        <v>#REF!</v>
      </c>
      <c r="AR100" s="1" t="e">
        <f>AR29-#REF!</f>
        <v>#REF!</v>
      </c>
      <c r="AS100" s="1" t="e">
        <f>AS29-#REF!</f>
        <v>#REF!</v>
      </c>
      <c r="AT100" s="1" t="e">
        <f>AT29-#REF!</f>
        <v>#REF!</v>
      </c>
      <c r="AU100" s="1" t="e">
        <f>AU29-#REF!</f>
        <v>#REF!</v>
      </c>
      <c r="AV100" s="1" t="e">
        <f>AV29-#REF!</f>
        <v>#REF!</v>
      </c>
      <c r="AW100" s="1" t="e">
        <f>AW29-#REF!</f>
        <v>#REF!</v>
      </c>
      <c r="AX100" s="1" t="e">
        <f>AX29-#REF!</f>
        <v>#REF!</v>
      </c>
      <c r="AY100" s="1" t="e">
        <f>AY29-#REF!</f>
        <v>#REF!</v>
      </c>
      <c r="AZ100" s="1" t="e">
        <f>AZ29-#REF!</f>
        <v>#REF!</v>
      </c>
      <c r="BA100" s="1" t="e">
        <f>BA29-#REF!</f>
        <v>#REF!</v>
      </c>
      <c r="BB100" s="1" t="e">
        <f>BB29-#REF!</f>
        <v>#REF!</v>
      </c>
      <c r="BC100" s="1" t="e">
        <f>BC29-#REF!</f>
        <v>#REF!</v>
      </c>
      <c r="BD100" s="1" t="e">
        <f>BD29-#REF!</f>
        <v>#REF!</v>
      </c>
      <c r="BE100" s="1" t="e">
        <f>BE29-#REF!</f>
        <v>#REF!</v>
      </c>
      <c r="BF100" s="1" t="e">
        <f>BF29-#REF!</f>
        <v>#REF!</v>
      </c>
      <c r="BG100" s="1" t="e">
        <f>BG29-#REF!</f>
        <v>#REF!</v>
      </c>
      <c r="BH100" s="1" t="e">
        <f>BH29-#REF!</f>
        <v>#REF!</v>
      </c>
      <c r="BI100" s="1" t="e">
        <f>BI29-#REF!</f>
        <v>#REF!</v>
      </c>
      <c r="BJ100" s="1" t="e">
        <f>BJ29-#REF!</f>
        <v>#REF!</v>
      </c>
      <c r="BK100" s="1" t="e">
        <f>BK29-#REF!</f>
        <v>#REF!</v>
      </c>
      <c r="BL100" s="1" t="e">
        <f>BL29-#REF!</f>
        <v>#REF!</v>
      </c>
      <c r="BM100" s="1" t="e">
        <f>BM29-#REF!</f>
        <v>#REF!</v>
      </c>
      <c r="BN100" s="1" t="e">
        <f>BN29-#REF!</f>
        <v>#REF!</v>
      </c>
      <c r="BO100" s="1" t="e">
        <f>BO29-#REF!</f>
        <v>#REF!</v>
      </c>
      <c r="BP100" s="1" t="e">
        <f>BP29-#REF!</f>
        <v>#REF!</v>
      </c>
      <c r="BQ100" s="1" t="e">
        <f>BQ29-#REF!</f>
        <v>#REF!</v>
      </c>
      <c r="BR100" s="1" t="e">
        <f>BR29-#REF!</f>
        <v>#REF!</v>
      </c>
      <c r="BS100" s="1" t="e">
        <f>BS29-#REF!</f>
        <v>#REF!</v>
      </c>
      <c r="BT100" s="1" t="e">
        <f>BT29-#REF!</f>
        <v>#REF!</v>
      </c>
      <c r="BU100" s="1" t="e">
        <f>BU29-#REF!</f>
        <v>#REF!</v>
      </c>
      <c r="BW100" s="1">
        <f>[54]domlongtermissues!BV97</f>
        <v>0</v>
      </c>
    </row>
    <row r="101" spans="13:75" hidden="1" x14ac:dyDescent="0.2">
      <c r="M101" s="1" t="e">
        <f>M30-#REF!</f>
        <v>#REF!</v>
      </c>
      <c r="N101" s="1" t="e">
        <f>N30-#REF!</f>
        <v>#REF!</v>
      </c>
      <c r="O101" s="1" t="e">
        <f>O30-#REF!</f>
        <v>#REF!</v>
      </c>
      <c r="P101" s="1" t="e">
        <f>P30-#REF!</f>
        <v>#REF!</v>
      </c>
      <c r="Q101" s="1" t="e">
        <f>Q30-#REF!</f>
        <v>#REF!</v>
      </c>
      <c r="R101" s="1" t="e">
        <f>R30-#REF!</f>
        <v>#REF!</v>
      </c>
      <c r="S101" s="1" t="e">
        <f>S30-#REF!</f>
        <v>#REF!</v>
      </c>
      <c r="T101" s="1" t="e">
        <f>T30-#REF!</f>
        <v>#REF!</v>
      </c>
      <c r="U101" s="1" t="e">
        <f>U30-#REF!</f>
        <v>#REF!</v>
      </c>
      <c r="V101" s="1" t="e">
        <f>V30-#REF!</f>
        <v>#REF!</v>
      </c>
      <c r="W101" s="1" t="e">
        <f>W30-#REF!</f>
        <v>#REF!</v>
      </c>
      <c r="X101" s="1" t="e">
        <f>X30-#REF!</f>
        <v>#REF!</v>
      </c>
      <c r="Y101" s="1" t="e">
        <f>Y30-#REF!</f>
        <v>#REF!</v>
      </c>
      <c r="Z101" s="1" t="e">
        <f>Z30-#REF!</f>
        <v>#REF!</v>
      </c>
      <c r="AA101" s="1" t="e">
        <f>AA30-#REF!</f>
        <v>#REF!</v>
      </c>
      <c r="AB101" s="1" t="e">
        <f>AB30-#REF!</f>
        <v>#REF!</v>
      </c>
      <c r="AC101" s="1" t="e">
        <f>AC30-#REF!</f>
        <v>#REF!</v>
      </c>
      <c r="AD101" s="1" t="e">
        <f>AD30-#REF!</f>
        <v>#REF!</v>
      </c>
      <c r="AE101" s="1" t="e">
        <f>AE30-#REF!</f>
        <v>#REF!</v>
      </c>
      <c r="AF101" s="1" t="e">
        <f>AF30-#REF!</f>
        <v>#REF!</v>
      </c>
      <c r="AG101" s="1" t="e">
        <f>AG30-#REF!</f>
        <v>#REF!</v>
      </c>
      <c r="AH101" s="1" t="e">
        <f>AH30-#REF!</f>
        <v>#REF!</v>
      </c>
      <c r="AI101" s="1" t="e">
        <f>AI30-#REF!</f>
        <v>#REF!</v>
      </c>
      <c r="AJ101" s="1" t="e">
        <f>AJ30-#REF!</f>
        <v>#REF!</v>
      </c>
      <c r="AK101" s="1" t="e">
        <f>AK30-#REF!</f>
        <v>#REF!</v>
      </c>
      <c r="AL101" s="1" t="e">
        <f>AL30-#REF!</f>
        <v>#REF!</v>
      </c>
      <c r="AM101" s="1" t="e">
        <f>AM30-#REF!</f>
        <v>#REF!</v>
      </c>
      <c r="AN101" s="1" t="e">
        <f>AN30-#REF!</f>
        <v>#REF!</v>
      </c>
      <c r="AO101" s="1" t="e">
        <f>AO30-#REF!</f>
        <v>#REF!</v>
      </c>
      <c r="AP101" s="1" t="e">
        <f>AP30-#REF!</f>
        <v>#REF!</v>
      </c>
      <c r="AQ101" s="1" t="e">
        <f>AQ30-#REF!</f>
        <v>#REF!</v>
      </c>
      <c r="AR101" s="1" t="e">
        <f>AR30-#REF!</f>
        <v>#REF!</v>
      </c>
      <c r="AS101" s="1" t="e">
        <f>AS30-#REF!</f>
        <v>#REF!</v>
      </c>
      <c r="AT101" s="1" t="e">
        <f>AT30-#REF!</f>
        <v>#REF!</v>
      </c>
      <c r="AU101" s="1" t="e">
        <f>AU30-#REF!</f>
        <v>#REF!</v>
      </c>
      <c r="AV101" s="1" t="e">
        <f>AV30-#REF!</f>
        <v>#REF!</v>
      </c>
      <c r="AW101" s="1" t="e">
        <f>AW30-#REF!</f>
        <v>#REF!</v>
      </c>
      <c r="AX101" s="1" t="e">
        <f>AX30-#REF!</f>
        <v>#REF!</v>
      </c>
      <c r="AY101" s="1" t="e">
        <f>AY30-#REF!</f>
        <v>#REF!</v>
      </c>
      <c r="AZ101" s="1" t="e">
        <f>AZ30-#REF!</f>
        <v>#REF!</v>
      </c>
      <c r="BA101" s="1" t="e">
        <f>BA30-#REF!</f>
        <v>#REF!</v>
      </c>
      <c r="BB101" s="1" t="e">
        <f>BB30-#REF!</f>
        <v>#REF!</v>
      </c>
      <c r="BC101" s="1" t="e">
        <f>BC30-#REF!</f>
        <v>#REF!</v>
      </c>
      <c r="BD101" s="1" t="e">
        <f>BD30-#REF!</f>
        <v>#REF!</v>
      </c>
      <c r="BE101" s="1" t="e">
        <f>BE30-#REF!</f>
        <v>#REF!</v>
      </c>
      <c r="BF101" s="1" t="e">
        <f>BF30-#REF!</f>
        <v>#REF!</v>
      </c>
      <c r="BG101" s="1" t="e">
        <f>BG30-#REF!</f>
        <v>#REF!</v>
      </c>
      <c r="BH101" s="1" t="e">
        <f>BH30-#REF!</f>
        <v>#REF!</v>
      </c>
      <c r="BI101" s="1" t="e">
        <f>BI30-#REF!</f>
        <v>#REF!</v>
      </c>
      <c r="BJ101" s="1" t="e">
        <f>BJ30-#REF!</f>
        <v>#REF!</v>
      </c>
      <c r="BK101" s="1" t="e">
        <f>BK30-#REF!</f>
        <v>#REF!</v>
      </c>
      <c r="BL101" s="1" t="e">
        <f>BL30-#REF!</f>
        <v>#REF!</v>
      </c>
      <c r="BM101" s="1" t="e">
        <f>BM30-#REF!</f>
        <v>#REF!</v>
      </c>
      <c r="BN101" s="1" t="e">
        <f>BN30-#REF!</f>
        <v>#REF!</v>
      </c>
      <c r="BO101" s="1" t="e">
        <f>BO30-#REF!</f>
        <v>#REF!</v>
      </c>
      <c r="BP101" s="1" t="e">
        <f>BP30-#REF!</f>
        <v>#REF!</v>
      </c>
      <c r="BQ101" s="1" t="e">
        <f>BQ30-#REF!</f>
        <v>#REF!</v>
      </c>
      <c r="BR101" s="1" t="e">
        <f>BR30-#REF!</f>
        <v>#REF!</v>
      </c>
      <c r="BS101" s="1" t="e">
        <f>BS30-#REF!</f>
        <v>#REF!</v>
      </c>
      <c r="BT101" s="1" t="e">
        <f>BT30-#REF!</f>
        <v>#REF!</v>
      </c>
      <c r="BU101" s="1" t="e">
        <f>BU30-#REF!</f>
        <v>#REF!</v>
      </c>
      <c r="BW101" s="1">
        <f>-[54]domlongtermissues!BV288</f>
        <v>0</v>
      </c>
    </row>
    <row r="102" spans="13:75" hidden="1" x14ac:dyDescent="0.2">
      <c r="M102" s="1" t="e">
        <f>M31-#REF!</f>
        <v>#REF!</v>
      </c>
      <c r="N102" s="1" t="e">
        <f>N31-#REF!</f>
        <v>#REF!</v>
      </c>
      <c r="O102" s="1" t="e">
        <f>O31-#REF!</f>
        <v>#REF!</v>
      </c>
      <c r="P102" s="1" t="e">
        <f>P31-#REF!</f>
        <v>#REF!</v>
      </c>
      <c r="Q102" s="1" t="e">
        <f>Q31-#REF!</f>
        <v>#REF!</v>
      </c>
      <c r="R102" s="1" t="e">
        <f>R31-#REF!</f>
        <v>#REF!</v>
      </c>
      <c r="S102" s="1" t="e">
        <f>S31-#REF!</f>
        <v>#REF!</v>
      </c>
      <c r="T102" s="1" t="e">
        <f>T31-#REF!</f>
        <v>#REF!</v>
      </c>
      <c r="U102" s="1" t="e">
        <f>U31-#REF!</f>
        <v>#REF!</v>
      </c>
      <c r="V102" s="1" t="e">
        <f>V31-#REF!</f>
        <v>#REF!</v>
      </c>
      <c r="W102" s="1" t="e">
        <f>W31-#REF!</f>
        <v>#REF!</v>
      </c>
      <c r="X102" s="1" t="e">
        <f>X31-#REF!</f>
        <v>#REF!</v>
      </c>
      <c r="Y102" s="1" t="e">
        <f>Y31-#REF!</f>
        <v>#REF!</v>
      </c>
      <c r="Z102" s="1" t="e">
        <f>Z31-#REF!</f>
        <v>#REF!</v>
      </c>
      <c r="AA102" s="1" t="e">
        <f>AA31-#REF!</f>
        <v>#REF!</v>
      </c>
      <c r="AB102" s="1" t="e">
        <f>AB31-#REF!</f>
        <v>#REF!</v>
      </c>
      <c r="AC102" s="1" t="e">
        <f>AC31-#REF!</f>
        <v>#REF!</v>
      </c>
      <c r="AD102" s="1" t="e">
        <f>AD31-#REF!</f>
        <v>#REF!</v>
      </c>
      <c r="AE102" s="1" t="e">
        <f>AE31-#REF!</f>
        <v>#REF!</v>
      </c>
      <c r="AF102" s="1" t="e">
        <f>AF31-#REF!</f>
        <v>#REF!</v>
      </c>
      <c r="AG102" s="1" t="e">
        <f>AG31-#REF!</f>
        <v>#REF!</v>
      </c>
      <c r="AH102" s="1" t="e">
        <f>AH31-#REF!</f>
        <v>#REF!</v>
      </c>
      <c r="AI102" s="1" t="e">
        <f>AI31-#REF!</f>
        <v>#REF!</v>
      </c>
      <c r="AJ102" s="1" t="e">
        <f>AJ31-#REF!</f>
        <v>#REF!</v>
      </c>
      <c r="AK102" s="1" t="e">
        <f>AK31-#REF!</f>
        <v>#REF!</v>
      </c>
      <c r="AL102" s="1" t="e">
        <f>AL31-#REF!</f>
        <v>#REF!</v>
      </c>
      <c r="AM102" s="1" t="e">
        <f>AM31-#REF!</f>
        <v>#REF!</v>
      </c>
      <c r="AN102" s="1" t="e">
        <f>AN31-#REF!</f>
        <v>#REF!</v>
      </c>
      <c r="AO102" s="1" t="e">
        <f>AO31-#REF!</f>
        <v>#REF!</v>
      </c>
      <c r="AP102" s="1" t="e">
        <f>AP31-#REF!</f>
        <v>#REF!</v>
      </c>
      <c r="AQ102" s="1" t="e">
        <f>AQ31-#REF!</f>
        <v>#REF!</v>
      </c>
      <c r="AR102" s="1" t="e">
        <f>AR31-#REF!</f>
        <v>#REF!</v>
      </c>
      <c r="AS102" s="1" t="e">
        <f>AS31-#REF!</f>
        <v>#REF!</v>
      </c>
      <c r="AT102" s="1" t="e">
        <f>AT31-#REF!</f>
        <v>#REF!</v>
      </c>
      <c r="AU102" s="1" t="e">
        <f>AU31-#REF!</f>
        <v>#REF!</v>
      </c>
      <c r="AV102" s="1" t="e">
        <f>AV31-#REF!</f>
        <v>#REF!</v>
      </c>
      <c r="AW102" s="1" t="e">
        <f>AW31-#REF!</f>
        <v>#REF!</v>
      </c>
      <c r="AX102" s="1" t="e">
        <f>AX31-#REF!</f>
        <v>#REF!</v>
      </c>
      <c r="AY102" s="1" t="e">
        <f>AY31-#REF!</f>
        <v>#REF!</v>
      </c>
      <c r="AZ102" s="1" t="e">
        <f>AZ31-#REF!</f>
        <v>#REF!</v>
      </c>
      <c r="BA102" s="1" t="e">
        <f>BA31-#REF!</f>
        <v>#REF!</v>
      </c>
      <c r="BB102" s="1" t="e">
        <f>BB31-#REF!</f>
        <v>#REF!</v>
      </c>
      <c r="BC102" s="1" t="e">
        <f>BC31-#REF!</f>
        <v>#REF!</v>
      </c>
      <c r="BD102" s="1" t="e">
        <f>BD31-#REF!</f>
        <v>#REF!</v>
      </c>
      <c r="BE102" s="1" t="e">
        <f>BE31-#REF!</f>
        <v>#REF!</v>
      </c>
      <c r="BF102" s="1" t="e">
        <f>BF31-#REF!</f>
        <v>#REF!</v>
      </c>
      <c r="BG102" s="1" t="e">
        <f>BG31-#REF!</f>
        <v>#REF!</v>
      </c>
      <c r="BH102" s="1" t="e">
        <f>BH31-#REF!</f>
        <v>#REF!</v>
      </c>
      <c r="BI102" s="1" t="e">
        <f>BI31-#REF!</f>
        <v>#REF!</v>
      </c>
      <c r="BJ102" s="1" t="e">
        <f>BJ31-#REF!</f>
        <v>#REF!</v>
      </c>
      <c r="BK102" s="1" t="e">
        <f>BK31-#REF!</f>
        <v>#REF!</v>
      </c>
      <c r="BL102" s="1" t="e">
        <f>BL31-#REF!</f>
        <v>#REF!</v>
      </c>
      <c r="BM102" s="1" t="e">
        <f>BM31-#REF!</f>
        <v>#REF!</v>
      </c>
      <c r="BN102" s="1" t="e">
        <f>BN31-#REF!</f>
        <v>#REF!</v>
      </c>
      <c r="BO102" s="1" t="e">
        <f>BO31-#REF!</f>
        <v>#REF!</v>
      </c>
      <c r="BP102" s="1" t="e">
        <f>BP31-#REF!</f>
        <v>#REF!</v>
      </c>
      <c r="BQ102" s="1" t="e">
        <f>BQ31-#REF!</f>
        <v>#REF!</v>
      </c>
      <c r="BR102" s="1" t="e">
        <f>BR31-#REF!</f>
        <v>#REF!</v>
      </c>
      <c r="BS102" s="1" t="e">
        <f>BS31-#REF!</f>
        <v>#REF!</v>
      </c>
      <c r="BT102" s="1" t="e">
        <f>BT31-#REF!</f>
        <v>#REF!</v>
      </c>
      <c r="BU102" s="1" t="e">
        <f>BU31-#REF!</f>
        <v>#REF!</v>
      </c>
      <c r="BW102" s="1">
        <f>-[54]domredemp!BV99+[54]domredemp!BV119</f>
        <v>0</v>
      </c>
    </row>
    <row r="103" spans="13:75" hidden="1" x14ac:dyDescent="0.2">
      <c r="M103" s="1" t="e">
        <f>M32-#REF!</f>
        <v>#REF!</v>
      </c>
      <c r="N103" s="1" t="e">
        <f>N32-#REF!</f>
        <v>#REF!</v>
      </c>
      <c r="O103" s="1" t="e">
        <f>O32-#REF!</f>
        <v>#REF!</v>
      </c>
      <c r="P103" s="1" t="e">
        <f>P32-#REF!</f>
        <v>#REF!</v>
      </c>
      <c r="Q103" s="1" t="e">
        <f>Q32-#REF!</f>
        <v>#REF!</v>
      </c>
      <c r="R103" s="1" t="e">
        <f>R32-#REF!</f>
        <v>#REF!</v>
      </c>
      <c r="S103" s="1" t="e">
        <f>S32-#REF!</f>
        <v>#REF!</v>
      </c>
      <c r="T103" s="1" t="e">
        <f>T32-#REF!</f>
        <v>#REF!</v>
      </c>
      <c r="U103" s="1" t="e">
        <f>U32-#REF!</f>
        <v>#REF!</v>
      </c>
      <c r="V103" s="1" t="e">
        <f>V32-#REF!</f>
        <v>#REF!</v>
      </c>
      <c r="W103" s="1" t="e">
        <f>W32-#REF!</f>
        <v>#REF!</v>
      </c>
      <c r="X103" s="1" t="e">
        <f>X32-#REF!</f>
        <v>#REF!</v>
      </c>
      <c r="Y103" s="1" t="e">
        <f>Y32-#REF!</f>
        <v>#REF!</v>
      </c>
      <c r="Z103" s="1" t="e">
        <f>Z32-#REF!</f>
        <v>#REF!</v>
      </c>
      <c r="AA103" s="1" t="e">
        <f>AA32-#REF!</f>
        <v>#REF!</v>
      </c>
      <c r="AB103" s="1" t="e">
        <f>AB32-#REF!</f>
        <v>#REF!</v>
      </c>
      <c r="AC103" s="1" t="e">
        <f>AC32-#REF!</f>
        <v>#REF!</v>
      </c>
      <c r="AD103" s="1" t="e">
        <f>AD32-#REF!</f>
        <v>#REF!</v>
      </c>
      <c r="AE103" s="1" t="e">
        <f>AE32-#REF!</f>
        <v>#REF!</v>
      </c>
      <c r="AF103" s="1" t="e">
        <f>AF32-#REF!</f>
        <v>#REF!</v>
      </c>
      <c r="AG103" s="1" t="e">
        <f>AG32-#REF!</f>
        <v>#REF!</v>
      </c>
      <c r="AH103" s="1" t="e">
        <f>AH32-#REF!</f>
        <v>#REF!</v>
      </c>
      <c r="AI103" s="1" t="e">
        <f>AI32-#REF!</f>
        <v>#REF!</v>
      </c>
      <c r="AJ103" s="1" t="e">
        <f>AJ32-#REF!</f>
        <v>#REF!</v>
      </c>
      <c r="AK103" s="1" t="e">
        <f>AK32-#REF!</f>
        <v>#REF!</v>
      </c>
      <c r="AL103" s="1" t="e">
        <f>AL32-#REF!</f>
        <v>#REF!</v>
      </c>
      <c r="AM103" s="1" t="e">
        <f>AM32-#REF!</f>
        <v>#REF!</v>
      </c>
      <c r="AN103" s="1" t="e">
        <f>AN32-#REF!</f>
        <v>#REF!</v>
      </c>
      <c r="AO103" s="1" t="e">
        <f>AO32-#REF!</f>
        <v>#REF!</v>
      </c>
      <c r="AP103" s="1" t="e">
        <f>AP32-#REF!</f>
        <v>#REF!</v>
      </c>
      <c r="AQ103" s="1" t="e">
        <f>AQ32-#REF!</f>
        <v>#REF!</v>
      </c>
      <c r="AR103" s="1" t="e">
        <f>AR32-#REF!</f>
        <v>#REF!</v>
      </c>
      <c r="AS103" s="1" t="e">
        <f>AS32-#REF!</f>
        <v>#REF!</v>
      </c>
      <c r="AT103" s="1" t="e">
        <f>AT32-#REF!</f>
        <v>#REF!</v>
      </c>
      <c r="AU103" s="1" t="e">
        <f>AU32-#REF!</f>
        <v>#REF!</v>
      </c>
      <c r="AV103" s="1" t="e">
        <f>AV32-#REF!</f>
        <v>#REF!</v>
      </c>
      <c r="AW103" s="1" t="e">
        <f>AW32-#REF!</f>
        <v>#REF!</v>
      </c>
      <c r="AX103" s="1" t="e">
        <f>AX32-#REF!</f>
        <v>#REF!</v>
      </c>
      <c r="AY103" s="1" t="e">
        <f>AY32-#REF!</f>
        <v>#REF!</v>
      </c>
      <c r="AZ103" s="1" t="e">
        <f>AZ32-#REF!</f>
        <v>#REF!</v>
      </c>
      <c r="BA103" s="1" t="e">
        <f>BA32-#REF!</f>
        <v>#REF!</v>
      </c>
      <c r="BB103" s="1" t="e">
        <f>BB32-#REF!</f>
        <v>#REF!</v>
      </c>
      <c r="BC103" s="1" t="e">
        <f>BC32-#REF!</f>
        <v>#REF!</v>
      </c>
      <c r="BD103" s="1" t="e">
        <f>BD32-#REF!</f>
        <v>#REF!</v>
      </c>
      <c r="BE103" s="1" t="e">
        <f>BE32-#REF!</f>
        <v>#REF!</v>
      </c>
      <c r="BF103" s="1" t="e">
        <f>BF32-#REF!</f>
        <v>#REF!</v>
      </c>
      <c r="BG103" s="1" t="e">
        <f>BG32-#REF!</f>
        <v>#REF!</v>
      </c>
      <c r="BH103" s="1" t="e">
        <f>BH32-#REF!</f>
        <v>#REF!</v>
      </c>
      <c r="BI103" s="1" t="e">
        <f>BI32-#REF!</f>
        <v>#REF!</v>
      </c>
      <c r="BJ103" s="1" t="e">
        <f>BJ32-#REF!</f>
        <v>#REF!</v>
      </c>
      <c r="BK103" s="1" t="e">
        <f>BK32-#REF!</f>
        <v>#REF!</v>
      </c>
      <c r="BL103" s="1" t="e">
        <f>BL32-#REF!</f>
        <v>#REF!</v>
      </c>
      <c r="BM103" s="1" t="e">
        <f>BM32-#REF!</f>
        <v>#REF!</v>
      </c>
      <c r="BN103" s="1" t="e">
        <f>BN32-#REF!</f>
        <v>#REF!</v>
      </c>
      <c r="BO103" s="1" t="e">
        <f>BO32-#REF!</f>
        <v>#REF!</v>
      </c>
      <c r="BP103" s="1" t="e">
        <f>BP32-#REF!</f>
        <v>#REF!</v>
      </c>
      <c r="BQ103" s="1" t="e">
        <f>BQ32-#REF!</f>
        <v>#REF!</v>
      </c>
      <c r="BR103" s="1" t="e">
        <f>BR32-#REF!</f>
        <v>#REF!</v>
      </c>
      <c r="BS103" s="1" t="e">
        <f>BS32-#REF!</f>
        <v>#REF!</v>
      </c>
      <c r="BT103" s="1" t="e">
        <f>BT32-#REF!</f>
        <v>#REF!</v>
      </c>
      <c r="BU103" s="1" t="e">
        <f>BU32-#REF!</f>
        <v>#REF!</v>
      </c>
    </row>
    <row r="104" spans="13:75" hidden="1" x14ac:dyDescent="0.2">
      <c r="M104" s="1" t="e">
        <f>M33-#REF!</f>
        <v>#REF!</v>
      </c>
      <c r="N104" s="1" t="e">
        <f>N33-#REF!</f>
        <v>#REF!</v>
      </c>
      <c r="O104" s="1" t="e">
        <f>O33-#REF!</f>
        <v>#REF!</v>
      </c>
      <c r="P104" s="1" t="e">
        <f>P33-#REF!</f>
        <v>#REF!</v>
      </c>
      <c r="Q104" s="1" t="e">
        <f>Q33-#REF!</f>
        <v>#REF!</v>
      </c>
      <c r="R104" s="1" t="e">
        <f>R33-#REF!</f>
        <v>#REF!</v>
      </c>
      <c r="S104" s="1" t="e">
        <f>S33-#REF!</f>
        <v>#REF!</v>
      </c>
      <c r="T104" s="1" t="e">
        <f>T33-#REF!</f>
        <v>#REF!</v>
      </c>
      <c r="U104" s="1" t="e">
        <f>U33-#REF!</f>
        <v>#REF!</v>
      </c>
      <c r="V104" s="1" t="e">
        <f>V33-#REF!</f>
        <v>#REF!</v>
      </c>
      <c r="W104" s="1" t="e">
        <f>W33-#REF!</f>
        <v>#REF!</v>
      </c>
      <c r="X104" s="1" t="e">
        <f>X33-#REF!</f>
        <v>#REF!</v>
      </c>
      <c r="Y104" s="1" t="e">
        <f>Y33-#REF!</f>
        <v>#REF!</v>
      </c>
      <c r="Z104" s="1" t="e">
        <f>Z33-#REF!</f>
        <v>#REF!</v>
      </c>
      <c r="AA104" s="1" t="e">
        <f>AA33-#REF!</f>
        <v>#REF!</v>
      </c>
      <c r="AB104" s="1" t="e">
        <f>AB33-#REF!</f>
        <v>#REF!</v>
      </c>
      <c r="AC104" s="1" t="e">
        <f>AC33-#REF!</f>
        <v>#REF!</v>
      </c>
      <c r="AD104" s="1" t="e">
        <f>AD33-#REF!</f>
        <v>#REF!</v>
      </c>
      <c r="AE104" s="1" t="e">
        <f>AE33-#REF!</f>
        <v>#REF!</v>
      </c>
      <c r="AF104" s="1" t="e">
        <f>AF33-#REF!</f>
        <v>#REF!</v>
      </c>
      <c r="AG104" s="1" t="e">
        <f>AG33-#REF!</f>
        <v>#REF!</v>
      </c>
      <c r="AH104" s="1" t="e">
        <f>AH33-#REF!</f>
        <v>#REF!</v>
      </c>
      <c r="AI104" s="1" t="e">
        <f>AI33-#REF!</f>
        <v>#REF!</v>
      </c>
      <c r="AJ104" s="1" t="e">
        <f>AJ33-#REF!</f>
        <v>#REF!</v>
      </c>
      <c r="AK104" s="1" t="e">
        <f>AK33-#REF!</f>
        <v>#REF!</v>
      </c>
      <c r="AL104" s="1" t="e">
        <f>AL33-#REF!</f>
        <v>#REF!</v>
      </c>
      <c r="AM104" s="1" t="e">
        <f>AM33-#REF!</f>
        <v>#REF!</v>
      </c>
      <c r="AN104" s="1" t="e">
        <f>AN33-#REF!</f>
        <v>#REF!</v>
      </c>
      <c r="AO104" s="1" t="e">
        <f>AO33-#REF!</f>
        <v>#REF!</v>
      </c>
      <c r="AP104" s="1" t="e">
        <f>AP33-#REF!</f>
        <v>#REF!</v>
      </c>
      <c r="AQ104" s="1" t="e">
        <f>AQ33-#REF!</f>
        <v>#REF!</v>
      </c>
      <c r="AR104" s="1" t="e">
        <f>AR33-#REF!</f>
        <v>#REF!</v>
      </c>
      <c r="AS104" s="1" t="e">
        <f>AS33-#REF!</f>
        <v>#REF!</v>
      </c>
      <c r="AT104" s="1" t="e">
        <f>AT33-#REF!</f>
        <v>#REF!</v>
      </c>
      <c r="AU104" s="1" t="e">
        <f>AU33-#REF!</f>
        <v>#REF!</v>
      </c>
      <c r="AV104" s="1" t="e">
        <f>AV33-#REF!</f>
        <v>#REF!</v>
      </c>
      <c r="AW104" s="1" t="e">
        <f>AW33-#REF!</f>
        <v>#REF!</v>
      </c>
      <c r="AX104" s="1" t="e">
        <f>AX33-#REF!</f>
        <v>#REF!</v>
      </c>
      <c r="AY104" s="1" t="e">
        <f>AY33-#REF!</f>
        <v>#REF!</v>
      </c>
      <c r="AZ104" s="1" t="e">
        <f>AZ33-#REF!</f>
        <v>#REF!</v>
      </c>
      <c r="BA104" s="1" t="e">
        <f>BA33-#REF!</f>
        <v>#REF!</v>
      </c>
      <c r="BB104" s="1" t="e">
        <f>BB33-#REF!</f>
        <v>#REF!</v>
      </c>
      <c r="BC104" s="1" t="e">
        <f>BC33-#REF!</f>
        <v>#REF!</v>
      </c>
      <c r="BD104" s="1" t="e">
        <f>BD33-#REF!</f>
        <v>#REF!</v>
      </c>
      <c r="BE104" s="1" t="e">
        <f>BE33-#REF!</f>
        <v>#REF!</v>
      </c>
      <c r="BF104" s="1" t="e">
        <f>BF33-#REF!</f>
        <v>#REF!</v>
      </c>
      <c r="BG104" s="1" t="e">
        <f>BG33-#REF!</f>
        <v>#REF!</v>
      </c>
      <c r="BH104" s="1" t="e">
        <f>BH33-#REF!</f>
        <v>#REF!</v>
      </c>
      <c r="BI104" s="1" t="e">
        <f>BI33-#REF!</f>
        <v>#REF!</v>
      </c>
      <c r="BJ104" s="1" t="e">
        <f>BJ33-#REF!</f>
        <v>#REF!</v>
      </c>
      <c r="BK104" s="1" t="e">
        <f>BK33-#REF!</f>
        <v>#REF!</v>
      </c>
      <c r="BL104" s="1" t="e">
        <f>BL33-#REF!</f>
        <v>#REF!</v>
      </c>
      <c r="BM104" s="1" t="e">
        <f>BM33-#REF!</f>
        <v>#REF!</v>
      </c>
      <c r="BN104" s="1" t="e">
        <f>BN33-#REF!</f>
        <v>#REF!</v>
      </c>
      <c r="BO104" s="1" t="e">
        <f>BO33-#REF!</f>
        <v>#REF!</v>
      </c>
      <c r="BP104" s="1" t="e">
        <f>BP33-#REF!</f>
        <v>#REF!</v>
      </c>
      <c r="BQ104" s="1" t="e">
        <f>BQ33-#REF!</f>
        <v>#REF!</v>
      </c>
      <c r="BR104" s="1" t="e">
        <f>BR33-#REF!</f>
        <v>#REF!</v>
      </c>
      <c r="BS104" s="1" t="e">
        <f>BS33-#REF!</f>
        <v>#REF!</v>
      </c>
      <c r="BT104" s="1" t="e">
        <f>BT33-#REF!</f>
        <v>#REF!</v>
      </c>
      <c r="BU104" s="1" t="e">
        <f>BU33-#REF!</f>
        <v>#REF!</v>
      </c>
      <c r="BW104" s="1">
        <f>SUM(BW105:BW106)</f>
        <v>0</v>
      </c>
    </row>
    <row r="105" spans="13:75" hidden="1" x14ac:dyDescent="0.2">
      <c r="M105" s="1" t="e">
        <f>M34-#REF!</f>
        <v>#REF!</v>
      </c>
      <c r="N105" s="1" t="e">
        <f>N34-#REF!</f>
        <v>#REF!</v>
      </c>
      <c r="O105" s="1" t="e">
        <f>O34-#REF!</f>
        <v>#REF!</v>
      </c>
      <c r="P105" s="1" t="e">
        <f>P34-#REF!</f>
        <v>#REF!</v>
      </c>
      <c r="Q105" s="1" t="e">
        <f>Q34-#REF!</f>
        <v>#REF!</v>
      </c>
      <c r="R105" s="1" t="e">
        <f>R34-#REF!</f>
        <v>#REF!</v>
      </c>
      <c r="S105" s="1" t="e">
        <f>S34-#REF!</f>
        <v>#REF!</v>
      </c>
      <c r="T105" s="1" t="e">
        <f>T34-#REF!</f>
        <v>#REF!</v>
      </c>
      <c r="U105" s="1" t="e">
        <f>U34-#REF!</f>
        <v>#REF!</v>
      </c>
      <c r="V105" s="1" t="e">
        <f>V34-#REF!</f>
        <v>#REF!</v>
      </c>
      <c r="W105" s="1" t="e">
        <f>W34-#REF!</f>
        <v>#REF!</v>
      </c>
      <c r="X105" s="1" t="e">
        <f>X34-#REF!</f>
        <v>#REF!</v>
      </c>
      <c r="Y105" s="1" t="e">
        <f>Y34-#REF!</f>
        <v>#REF!</v>
      </c>
      <c r="Z105" s="1" t="e">
        <f>Z34-#REF!</f>
        <v>#REF!</v>
      </c>
      <c r="AA105" s="1" t="e">
        <f>AA34-#REF!</f>
        <v>#REF!</v>
      </c>
      <c r="AB105" s="1" t="e">
        <f>AB34-#REF!</f>
        <v>#REF!</v>
      </c>
      <c r="AC105" s="1" t="e">
        <f>AC34-#REF!</f>
        <v>#REF!</v>
      </c>
      <c r="AD105" s="1" t="e">
        <f>AD34-#REF!</f>
        <v>#REF!</v>
      </c>
      <c r="AE105" s="1" t="e">
        <f>AE34-#REF!</f>
        <v>#REF!</v>
      </c>
      <c r="AF105" s="1" t="e">
        <f>AF34-#REF!</f>
        <v>#REF!</v>
      </c>
      <c r="AG105" s="1" t="e">
        <f>AG34-#REF!</f>
        <v>#REF!</v>
      </c>
      <c r="AH105" s="1" t="e">
        <f>AH34-#REF!</f>
        <v>#REF!</v>
      </c>
      <c r="AI105" s="1" t="e">
        <f>AI34-#REF!</f>
        <v>#REF!</v>
      </c>
      <c r="AJ105" s="1" t="e">
        <f>AJ34-#REF!</f>
        <v>#REF!</v>
      </c>
      <c r="AK105" s="1" t="e">
        <f>AK34-#REF!</f>
        <v>#REF!</v>
      </c>
      <c r="AL105" s="1" t="e">
        <f>AL34-#REF!</f>
        <v>#REF!</v>
      </c>
      <c r="AM105" s="1" t="e">
        <f>AM34-#REF!</f>
        <v>#REF!</v>
      </c>
      <c r="AN105" s="1" t="e">
        <f>AN34-#REF!</f>
        <v>#REF!</v>
      </c>
      <c r="AO105" s="1" t="e">
        <f>AO34-#REF!</f>
        <v>#REF!</v>
      </c>
      <c r="AP105" s="1" t="e">
        <f>AP34-#REF!</f>
        <v>#REF!</v>
      </c>
      <c r="AQ105" s="1" t="e">
        <f>AQ34-#REF!</f>
        <v>#REF!</v>
      </c>
      <c r="AR105" s="1" t="e">
        <f>AR34-#REF!</f>
        <v>#REF!</v>
      </c>
      <c r="AS105" s="1" t="e">
        <f>AS34-#REF!</f>
        <v>#REF!</v>
      </c>
      <c r="AT105" s="1" t="e">
        <f>AT34-#REF!</f>
        <v>#REF!</v>
      </c>
      <c r="AU105" s="1" t="e">
        <f>AU34-#REF!</f>
        <v>#REF!</v>
      </c>
      <c r="AV105" s="1" t="e">
        <f>AV34-#REF!</f>
        <v>#REF!</v>
      </c>
      <c r="AW105" s="1" t="e">
        <f>AW34-#REF!</f>
        <v>#REF!</v>
      </c>
      <c r="AX105" s="1" t="e">
        <f>AX34-#REF!</f>
        <v>#REF!</v>
      </c>
      <c r="AY105" s="1" t="e">
        <f>AY34-#REF!</f>
        <v>#REF!</v>
      </c>
      <c r="AZ105" s="1" t="e">
        <f>AZ34-#REF!</f>
        <v>#REF!</v>
      </c>
      <c r="BA105" s="1" t="e">
        <f>BA34-#REF!</f>
        <v>#REF!</v>
      </c>
      <c r="BB105" s="1" t="e">
        <f>BB34-#REF!</f>
        <v>#REF!</v>
      </c>
      <c r="BC105" s="1" t="e">
        <f>BC34-#REF!</f>
        <v>#REF!</v>
      </c>
      <c r="BD105" s="1" t="e">
        <f>BD34-#REF!</f>
        <v>#REF!</v>
      </c>
      <c r="BE105" s="1" t="e">
        <f>BE34-#REF!</f>
        <v>#REF!</v>
      </c>
      <c r="BF105" s="1" t="e">
        <f>BF34-#REF!</f>
        <v>#REF!</v>
      </c>
      <c r="BG105" s="1" t="e">
        <f>BG34-#REF!</f>
        <v>#REF!</v>
      </c>
      <c r="BH105" s="1" t="e">
        <f>BH34-#REF!</f>
        <v>#REF!</v>
      </c>
      <c r="BI105" s="1" t="e">
        <f>BI34-#REF!</f>
        <v>#REF!</v>
      </c>
      <c r="BJ105" s="1" t="e">
        <f>BJ34-#REF!</f>
        <v>#REF!</v>
      </c>
      <c r="BK105" s="1" t="e">
        <f>BK34-#REF!</f>
        <v>#REF!</v>
      </c>
      <c r="BL105" s="1" t="e">
        <f>BL34-#REF!</f>
        <v>#REF!</v>
      </c>
      <c r="BM105" s="1" t="e">
        <f>BM34-#REF!</f>
        <v>#REF!</v>
      </c>
      <c r="BN105" s="1" t="e">
        <f>BN34-#REF!</f>
        <v>#REF!</v>
      </c>
      <c r="BO105" s="1" t="e">
        <f>BO34-#REF!</f>
        <v>#REF!</v>
      </c>
      <c r="BP105" s="1" t="e">
        <f>BP34-#REF!</f>
        <v>#REF!</v>
      </c>
      <c r="BQ105" s="1" t="e">
        <f>BQ34-#REF!</f>
        <v>#REF!</v>
      </c>
      <c r="BR105" s="1" t="e">
        <f>BR34-#REF!</f>
        <v>#REF!</v>
      </c>
      <c r="BS105" s="1" t="e">
        <f>BS34-#REF!</f>
        <v>#REF!</v>
      </c>
      <c r="BT105" s="1" t="e">
        <f>BT34-#REF!</f>
        <v>#REF!</v>
      </c>
      <c r="BU105" s="1" t="e">
        <f>BU34-#REF!</f>
        <v>#REF!</v>
      </c>
      <c r="BW105" s="1">
        <f>[54]domlongtermissues!BV98</f>
        <v>0</v>
      </c>
    </row>
    <row r="106" spans="13:75" hidden="1" x14ac:dyDescent="0.2">
      <c r="M106" s="1" t="e">
        <f>M35-#REF!</f>
        <v>#REF!</v>
      </c>
      <c r="N106" s="1" t="e">
        <f>N35-#REF!</f>
        <v>#REF!</v>
      </c>
      <c r="O106" s="1" t="e">
        <f>O35-#REF!</f>
        <v>#REF!</v>
      </c>
      <c r="P106" s="1" t="e">
        <f>P35-#REF!</f>
        <v>#REF!</v>
      </c>
      <c r="Q106" s="1" t="e">
        <f>Q35-#REF!</f>
        <v>#REF!</v>
      </c>
      <c r="R106" s="1" t="e">
        <f>R35-#REF!</f>
        <v>#REF!</v>
      </c>
      <c r="S106" s="1" t="e">
        <f>S35-#REF!</f>
        <v>#REF!</v>
      </c>
      <c r="T106" s="1" t="e">
        <f>T35-#REF!</f>
        <v>#REF!</v>
      </c>
      <c r="U106" s="1" t="e">
        <f>U35-#REF!</f>
        <v>#REF!</v>
      </c>
      <c r="V106" s="1" t="e">
        <f>V35-#REF!</f>
        <v>#REF!</v>
      </c>
      <c r="W106" s="1" t="e">
        <f>W35-#REF!</f>
        <v>#REF!</v>
      </c>
      <c r="X106" s="1" t="e">
        <f>X35-#REF!</f>
        <v>#REF!</v>
      </c>
      <c r="Y106" s="1" t="e">
        <f>Y35-#REF!</f>
        <v>#REF!</v>
      </c>
      <c r="Z106" s="1" t="e">
        <f>Z35-#REF!</f>
        <v>#REF!</v>
      </c>
      <c r="AA106" s="1" t="e">
        <f>AA35-#REF!</f>
        <v>#REF!</v>
      </c>
      <c r="AB106" s="1" t="e">
        <f>AB35-#REF!</f>
        <v>#REF!</v>
      </c>
      <c r="AC106" s="1" t="e">
        <f>AC35-#REF!</f>
        <v>#REF!</v>
      </c>
      <c r="AD106" s="1" t="e">
        <f>AD35-#REF!</f>
        <v>#REF!</v>
      </c>
      <c r="AE106" s="1" t="e">
        <f>AE35-#REF!</f>
        <v>#REF!</v>
      </c>
      <c r="AF106" s="1" t="e">
        <f>AF35-#REF!</f>
        <v>#REF!</v>
      </c>
      <c r="AG106" s="1" t="e">
        <f>AG35-#REF!</f>
        <v>#REF!</v>
      </c>
      <c r="AH106" s="1" t="e">
        <f>AH35-#REF!</f>
        <v>#REF!</v>
      </c>
      <c r="AI106" s="1" t="e">
        <f>AI35-#REF!</f>
        <v>#REF!</v>
      </c>
      <c r="AJ106" s="1" t="e">
        <f>AJ35-#REF!</f>
        <v>#REF!</v>
      </c>
      <c r="AK106" s="1" t="e">
        <f>AK35-#REF!</f>
        <v>#REF!</v>
      </c>
      <c r="AL106" s="1" t="e">
        <f>AL35-#REF!</f>
        <v>#REF!</v>
      </c>
      <c r="AM106" s="1" t="e">
        <f>AM35-#REF!</f>
        <v>#REF!</v>
      </c>
      <c r="AN106" s="1" t="e">
        <f>AN35-#REF!</f>
        <v>#REF!</v>
      </c>
      <c r="AO106" s="1" t="e">
        <f>AO35-#REF!</f>
        <v>#REF!</v>
      </c>
      <c r="AP106" s="1" t="e">
        <f>AP35-#REF!</f>
        <v>#REF!</v>
      </c>
      <c r="AQ106" s="1" t="e">
        <f>AQ35-#REF!</f>
        <v>#REF!</v>
      </c>
      <c r="AR106" s="1" t="e">
        <f>AR35-#REF!</f>
        <v>#REF!</v>
      </c>
      <c r="AS106" s="1" t="e">
        <f>AS35-#REF!</f>
        <v>#REF!</v>
      </c>
      <c r="AT106" s="1" t="e">
        <f>AT35-#REF!</f>
        <v>#REF!</v>
      </c>
      <c r="AU106" s="1" t="e">
        <f>AU35-#REF!</f>
        <v>#REF!</v>
      </c>
      <c r="AV106" s="1" t="e">
        <f>AV35-#REF!</f>
        <v>#REF!</v>
      </c>
      <c r="AW106" s="1" t="e">
        <f>AW35-#REF!</f>
        <v>#REF!</v>
      </c>
      <c r="AX106" s="1" t="e">
        <f>AX35-#REF!</f>
        <v>#REF!</v>
      </c>
      <c r="AY106" s="1" t="e">
        <f>AY35-#REF!</f>
        <v>#REF!</v>
      </c>
      <c r="AZ106" s="1" t="e">
        <f>AZ35-#REF!</f>
        <v>#REF!</v>
      </c>
      <c r="BA106" s="1" t="e">
        <f>BA35-#REF!</f>
        <v>#REF!</v>
      </c>
      <c r="BB106" s="1" t="e">
        <f>BB35-#REF!</f>
        <v>#REF!</v>
      </c>
      <c r="BC106" s="1" t="e">
        <f>BC35-#REF!</f>
        <v>#REF!</v>
      </c>
      <c r="BD106" s="1" t="e">
        <f>BD35-#REF!</f>
        <v>#REF!</v>
      </c>
      <c r="BE106" s="1" t="e">
        <f>BE35-#REF!</f>
        <v>#REF!</v>
      </c>
      <c r="BF106" s="1" t="e">
        <f>BF35-#REF!</f>
        <v>#REF!</v>
      </c>
      <c r="BG106" s="1" t="e">
        <f>BG35-#REF!</f>
        <v>#REF!</v>
      </c>
      <c r="BH106" s="1" t="e">
        <f>BH35-#REF!</f>
        <v>#REF!</v>
      </c>
      <c r="BI106" s="1" t="e">
        <f>BI35-#REF!</f>
        <v>#REF!</v>
      </c>
      <c r="BJ106" s="1" t="e">
        <f>BJ35-#REF!</f>
        <v>#REF!</v>
      </c>
      <c r="BK106" s="1" t="e">
        <f>BK35-#REF!</f>
        <v>#REF!</v>
      </c>
      <c r="BL106" s="1" t="e">
        <f>BL35-#REF!</f>
        <v>#REF!</v>
      </c>
      <c r="BM106" s="1" t="e">
        <f>BM35-#REF!</f>
        <v>#REF!</v>
      </c>
      <c r="BN106" s="1" t="e">
        <f>BN35-#REF!</f>
        <v>#REF!</v>
      </c>
      <c r="BO106" s="1" t="e">
        <f>BO35-#REF!</f>
        <v>#REF!</v>
      </c>
      <c r="BP106" s="1" t="e">
        <f>BP35-#REF!</f>
        <v>#REF!</v>
      </c>
      <c r="BQ106" s="1" t="e">
        <f>BQ35-#REF!</f>
        <v>#REF!</v>
      </c>
      <c r="BR106" s="1" t="e">
        <f>BR35-#REF!</f>
        <v>#REF!</v>
      </c>
      <c r="BS106" s="1" t="e">
        <f>BS35-#REF!</f>
        <v>#REF!</v>
      </c>
      <c r="BT106" s="1" t="e">
        <f>BT35-#REF!</f>
        <v>#REF!</v>
      </c>
      <c r="BU106" s="1" t="e">
        <f>BU35-#REF!</f>
        <v>#REF!</v>
      </c>
      <c r="BW106" s="1">
        <f>-[54]domredemp!BV100</f>
        <v>0</v>
      </c>
    </row>
    <row r="107" spans="13:75" hidden="1" x14ac:dyDescent="0.2">
      <c r="M107" s="1" t="e">
        <f>M36-#REF!</f>
        <v>#REF!</v>
      </c>
      <c r="N107" s="1" t="e">
        <f>N36-#REF!</f>
        <v>#REF!</v>
      </c>
      <c r="O107" s="1" t="e">
        <f>O36-#REF!</f>
        <v>#REF!</v>
      </c>
      <c r="P107" s="1" t="e">
        <f>P36-#REF!</f>
        <v>#REF!</v>
      </c>
      <c r="Q107" s="1" t="e">
        <f>Q36-#REF!</f>
        <v>#REF!</v>
      </c>
      <c r="R107" s="1" t="e">
        <f>R36-#REF!</f>
        <v>#REF!</v>
      </c>
      <c r="S107" s="1" t="e">
        <f>S36-#REF!</f>
        <v>#REF!</v>
      </c>
      <c r="T107" s="1" t="e">
        <f>T36-#REF!</f>
        <v>#REF!</v>
      </c>
      <c r="U107" s="1" t="e">
        <f>U36-#REF!</f>
        <v>#REF!</v>
      </c>
      <c r="V107" s="1" t="e">
        <f>V36-#REF!</f>
        <v>#REF!</v>
      </c>
      <c r="W107" s="1" t="e">
        <f>W36-#REF!</f>
        <v>#REF!</v>
      </c>
      <c r="X107" s="1" t="e">
        <f>X36-#REF!</f>
        <v>#REF!</v>
      </c>
      <c r="Y107" s="1" t="e">
        <f>Y36-#REF!</f>
        <v>#REF!</v>
      </c>
      <c r="Z107" s="1" t="e">
        <f>Z36-#REF!</f>
        <v>#REF!</v>
      </c>
      <c r="AA107" s="1" t="e">
        <f>AA36-#REF!</f>
        <v>#REF!</v>
      </c>
      <c r="AB107" s="1" t="e">
        <f>AB36-#REF!</f>
        <v>#REF!</v>
      </c>
      <c r="AC107" s="1" t="e">
        <f>AC36-#REF!</f>
        <v>#REF!</v>
      </c>
      <c r="AD107" s="1" t="e">
        <f>AD36-#REF!</f>
        <v>#REF!</v>
      </c>
      <c r="AE107" s="1" t="e">
        <f>AE36-#REF!</f>
        <v>#REF!</v>
      </c>
      <c r="AF107" s="1" t="e">
        <f>AF36-#REF!</f>
        <v>#REF!</v>
      </c>
      <c r="AG107" s="1" t="e">
        <f>AG36-#REF!</f>
        <v>#REF!</v>
      </c>
      <c r="AH107" s="1" t="e">
        <f>AH36-#REF!</f>
        <v>#REF!</v>
      </c>
      <c r="AI107" s="1" t="e">
        <f>AI36-#REF!</f>
        <v>#REF!</v>
      </c>
      <c r="AJ107" s="1" t="e">
        <f>AJ36-#REF!</f>
        <v>#REF!</v>
      </c>
      <c r="AK107" s="1" t="e">
        <f>AK36-#REF!</f>
        <v>#REF!</v>
      </c>
      <c r="AL107" s="1" t="e">
        <f>AL36-#REF!</f>
        <v>#REF!</v>
      </c>
      <c r="AM107" s="1" t="e">
        <f>AM36-#REF!</f>
        <v>#REF!</v>
      </c>
      <c r="AN107" s="1" t="e">
        <f>AN36-#REF!</f>
        <v>#REF!</v>
      </c>
      <c r="AO107" s="1" t="e">
        <f>AO36-#REF!</f>
        <v>#REF!</v>
      </c>
      <c r="AP107" s="1" t="e">
        <f>AP36-#REF!</f>
        <v>#REF!</v>
      </c>
      <c r="AQ107" s="1" t="e">
        <f>AQ36-#REF!</f>
        <v>#REF!</v>
      </c>
      <c r="AR107" s="1" t="e">
        <f>AR36-#REF!</f>
        <v>#REF!</v>
      </c>
      <c r="AS107" s="1" t="e">
        <f>AS36-#REF!</f>
        <v>#REF!</v>
      </c>
      <c r="AT107" s="1" t="e">
        <f>AT36-#REF!</f>
        <v>#REF!</v>
      </c>
      <c r="AU107" s="1" t="e">
        <f>AU36-#REF!</f>
        <v>#REF!</v>
      </c>
      <c r="AV107" s="1" t="e">
        <f>AV36-#REF!</f>
        <v>#REF!</v>
      </c>
      <c r="AW107" s="1" t="e">
        <f>AW36-#REF!</f>
        <v>#REF!</v>
      </c>
      <c r="AX107" s="1" t="e">
        <f>AX36-#REF!</f>
        <v>#REF!</v>
      </c>
      <c r="AY107" s="1" t="e">
        <f>AY36-#REF!</f>
        <v>#REF!</v>
      </c>
      <c r="AZ107" s="1" t="e">
        <f>AZ36-#REF!</f>
        <v>#REF!</v>
      </c>
      <c r="BA107" s="1" t="e">
        <f>BA36-#REF!</f>
        <v>#REF!</v>
      </c>
      <c r="BB107" s="1" t="e">
        <f>BB36-#REF!</f>
        <v>#REF!</v>
      </c>
      <c r="BC107" s="1" t="e">
        <f>BC36-#REF!</f>
        <v>#REF!</v>
      </c>
      <c r="BD107" s="1" t="e">
        <f>BD36-#REF!</f>
        <v>#REF!</v>
      </c>
      <c r="BE107" s="1" t="e">
        <f>BE36-#REF!</f>
        <v>#REF!</v>
      </c>
      <c r="BF107" s="1" t="e">
        <f>BF36-#REF!</f>
        <v>#REF!</v>
      </c>
      <c r="BG107" s="1" t="e">
        <f>BG36-#REF!</f>
        <v>#REF!</v>
      </c>
      <c r="BH107" s="1" t="e">
        <f>BH36-#REF!</f>
        <v>#REF!</v>
      </c>
      <c r="BI107" s="1" t="e">
        <f>BI36-#REF!</f>
        <v>#REF!</v>
      </c>
      <c r="BJ107" s="1" t="e">
        <f>BJ36-#REF!</f>
        <v>#REF!</v>
      </c>
      <c r="BK107" s="1" t="e">
        <f>BK36-#REF!</f>
        <v>#REF!</v>
      </c>
      <c r="BL107" s="1" t="e">
        <f>BL36-#REF!</f>
        <v>#REF!</v>
      </c>
      <c r="BM107" s="1" t="e">
        <f>BM36-#REF!</f>
        <v>#REF!</v>
      </c>
      <c r="BN107" s="1" t="e">
        <f>BN36-#REF!</f>
        <v>#REF!</v>
      </c>
      <c r="BO107" s="1" t="e">
        <f>BO36-#REF!</f>
        <v>#REF!</v>
      </c>
      <c r="BP107" s="1" t="e">
        <f>BP36-#REF!</f>
        <v>#REF!</v>
      </c>
      <c r="BQ107" s="1" t="e">
        <f>BQ36-#REF!</f>
        <v>#REF!</v>
      </c>
      <c r="BR107" s="1" t="e">
        <f>BR36-#REF!</f>
        <v>#REF!</v>
      </c>
      <c r="BS107" s="1" t="e">
        <f>BS36-#REF!</f>
        <v>#REF!</v>
      </c>
      <c r="BT107" s="1" t="e">
        <f>BT36-#REF!</f>
        <v>#REF!</v>
      </c>
      <c r="BU107" s="1" t="e">
        <f>BU36-#REF!</f>
        <v>#REF!</v>
      </c>
    </row>
    <row r="108" spans="13:75" hidden="1" x14ac:dyDescent="0.2">
      <c r="M108" s="1" t="e">
        <f>M37-#REF!</f>
        <v>#REF!</v>
      </c>
      <c r="N108" s="1" t="e">
        <f>N37-#REF!</f>
        <v>#REF!</v>
      </c>
      <c r="O108" s="1" t="e">
        <f>O37-#REF!</f>
        <v>#REF!</v>
      </c>
      <c r="P108" s="1" t="e">
        <f>P37-#REF!</f>
        <v>#REF!</v>
      </c>
      <c r="Q108" s="1" t="e">
        <f>Q37-#REF!</f>
        <v>#REF!</v>
      </c>
      <c r="R108" s="1" t="e">
        <f>R37-#REF!</f>
        <v>#REF!</v>
      </c>
      <c r="S108" s="1" t="e">
        <f>S37-#REF!</f>
        <v>#REF!</v>
      </c>
      <c r="T108" s="1" t="e">
        <f>T37-#REF!</f>
        <v>#REF!</v>
      </c>
      <c r="U108" s="1" t="e">
        <f>U37-#REF!</f>
        <v>#REF!</v>
      </c>
      <c r="V108" s="1" t="e">
        <f>V37-#REF!</f>
        <v>#REF!</v>
      </c>
      <c r="W108" s="1" t="e">
        <f>W37-#REF!</f>
        <v>#REF!</v>
      </c>
      <c r="X108" s="1" t="e">
        <f>X37-#REF!</f>
        <v>#REF!</v>
      </c>
      <c r="Y108" s="1" t="e">
        <f>Y37-#REF!</f>
        <v>#REF!</v>
      </c>
      <c r="Z108" s="1" t="e">
        <f>Z37-#REF!</f>
        <v>#REF!</v>
      </c>
      <c r="AA108" s="1" t="e">
        <f>AA37-#REF!</f>
        <v>#REF!</v>
      </c>
      <c r="AB108" s="1" t="e">
        <f>AB37-#REF!</f>
        <v>#REF!</v>
      </c>
      <c r="AC108" s="1" t="e">
        <f>AC37-#REF!</f>
        <v>#REF!</v>
      </c>
      <c r="AD108" s="1" t="e">
        <f>AD37-#REF!</f>
        <v>#REF!</v>
      </c>
      <c r="AE108" s="1" t="e">
        <f>AE37-#REF!</f>
        <v>#REF!</v>
      </c>
      <c r="AF108" s="1" t="e">
        <f>AF37-#REF!</f>
        <v>#REF!</v>
      </c>
      <c r="AG108" s="1" t="e">
        <f>AG37-#REF!</f>
        <v>#REF!</v>
      </c>
      <c r="AH108" s="1" t="e">
        <f>AH37-#REF!</f>
        <v>#REF!</v>
      </c>
      <c r="AI108" s="1" t="e">
        <f>AI37-#REF!</f>
        <v>#REF!</v>
      </c>
      <c r="AJ108" s="1" t="e">
        <f>AJ37-#REF!</f>
        <v>#REF!</v>
      </c>
      <c r="AK108" s="1" t="e">
        <f>AK37-#REF!</f>
        <v>#REF!</v>
      </c>
      <c r="AL108" s="1" t="e">
        <f>AL37-#REF!</f>
        <v>#REF!</v>
      </c>
      <c r="AM108" s="1" t="e">
        <f>AM37-#REF!</f>
        <v>#REF!</v>
      </c>
      <c r="AN108" s="1" t="e">
        <f>AN37-#REF!</f>
        <v>#REF!</v>
      </c>
      <c r="AO108" s="1" t="e">
        <f>AO37-#REF!</f>
        <v>#REF!</v>
      </c>
      <c r="AP108" s="1" t="e">
        <f>AP37-#REF!</f>
        <v>#REF!</v>
      </c>
      <c r="AQ108" s="1" t="e">
        <f>AQ37-#REF!</f>
        <v>#REF!</v>
      </c>
      <c r="AR108" s="1" t="e">
        <f>AR37-#REF!</f>
        <v>#REF!</v>
      </c>
      <c r="AS108" s="1" t="e">
        <f>AS37-#REF!</f>
        <v>#REF!</v>
      </c>
      <c r="AT108" s="1" t="e">
        <f>AT37-#REF!</f>
        <v>#REF!</v>
      </c>
      <c r="AU108" s="1" t="e">
        <f>AU37-#REF!</f>
        <v>#REF!</v>
      </c>
      <c r="AV108" s="1" t="e">
        <f>AV37-#REF!</f>
        <v>#REF!</v>
      </c>
      <c r="AW108" s="1" t="e">
        <f>AW37-#REF!</f>
        <v>#REF!</v>
      </c>
      <c r="AX108" s="1" t="e">
        <f>AX37-#REF!</f>
        <v>#REF!</v>
      </c>
      <c r="AY108" s="1" t="e">
        <f>AY37-#REF!</f>
        <v>#REF!</v>
      </c>
      <c r="AZ108" s="1" t="e">
        <f>AZ37-#REF!</f>
        <v>#REF!</v>
      </c>
      <c r="BA108" s="1" t="e">
        <f>BA37-#REF!</f>
        <v>#REF!</v>
      </c>
      <c r="BB108" s="1" t="e">
        <f>BB37-#REF!</f>
        <v>#REF!</v>
      </c>
      <c r="BC108" s="1" t="e">
        <f>BC37-#REF!</f>
        <v>#REF!</v>
      </c>
      <c r="BD108" s="1" t="e">
        <f>BD37-#REF!</f>
        <v>#REF!</v>
      </c>
      <c r="BE108" s="1" t="e">
        <f>BE37-#REF!</f>
        <v>#REF!</v>
      </c>
      <c r="BF108" s="1" t="e">
        <f>BF37-#REF!</f>
        <v>#REF!</v>
      </c>
      <c r="BG108" s="1" t="e">
        <f>BG37-#REF!</f>
        <v>#REF!</v>
      </c>
      <c r="BH108" s="1" t="e">
        <f>BH37-#REF!</f>
        <v>#REF!</v>
      </c>
      <c r="BI108" s="1" t="e">
        <f>BI37-#REF!</f>
        <v>#REF!</v>
      </c>
      <c r="BJ108" s="1" t="e">
        <f>BJ37-#REF!</f>
        <v>#REF!</v>
      </c>
      <c r="BK108" s="1" t="e">
        <f>BK37-#REF!</f>
        <v>#REF!</v>
      </c>
      <c r="BL108" s="1" t="e">
        <f>BL37-#REF!</f>
        <v>#REF!</v>
      </c>
      <c r="BM108" s="1" t="e">
        <f>BM37-#REF!</f>
        <v>#REF!</v>
      </c>
      <c r="BN108" s="1" t="e">
        <f>BN37-#REF!</f>
        <v>#REF!</v>
      </c>
      <c r="BO108" s="1" t="e">
        <f>BO37-#REF!</f>
        <v>#REF!</v>
      </c>
      <c r="BP108" s="1" t="e">
        <f>BP37-#REF!</f>
        <v>#REF!</v>
      </c>
      <c r="BQ108" s="1" t="e">
        <f>BQ37-#REF!</f>
        <v>#REF!</v>
      </c>
      <c r="BR108" s="1" t="e">
        <f>BR37-#REF!</f>
        <v>#REF!</v>
      </c>
      <c r="BS108" s="1" t="e">
        <f>BS37-#REF!</f>
        <v>#REF!</v>
      </c>
      <c r="BT108" s="1" t="e">
        <f>BT37-#REF!</f>
        <v>#REF!</v>
      </c>
      <c r="BU108" s="1" t="e">
        <f>BU37-#REF!</f>
        <v>#REF!</v>
      </c>
      <c r="BW108" s="1">
        <f>SUM(BW109:BW109)</f>
        <v>0</v>
      </c>
    </row>
    <row r="109" spans="13:75" hidden="1" x14ac:dyDescent="0.2">
      <c r="M109" s="1" t="e">
        <f>M38-#REF!</f>
        <v>#REF!</v>
      </c>
      <c r="N109" s="1" t="e">
        <f>N38-#REF!</f>
        <v>#REF!</v>
      </c>
      <c r="O109" s="1" t="e">
        <f>O38-#REF!</f>
        <v>#REF!</v>
      </c>
      <c r="P109" s="1" t="e">
        <f>P38-#REF!</f>
        <v>#REF!</v>
      </c>
      <c r="Q109" s="1" t="e">
        <f>Q38-#REF!</f>
        <v>#REF!</v>
      </c>
      <c r="R109" s="1" t="e">
        <f>R38-#REF!</f>
        <v>#REF!</v>
      </c>
      <c r="S109" s="1" t="e">
        <f>S38-#REF!</f>
        <v>#REF!</v>
      </c>
      <c r="T109" s="1" t="e">
        <f>T38-#REF!</f>
        <v>#REF!</v>
      </c>
      <c r="U109" s="1" t="e">
        <f>U38-#REF!</f>
        <v>#REF!</v>
      </c>
      <c r="V109" s="1" t="e">
        <f>V38-#REF!</f>
        <v>#REF!</v>
      </c>
      <c r="W109" s="1" t="e">
        <f>W38-#REF!</f>
        <v>#REF!</v>
      </c>
      <c r="X109" s="1" t="e">
        <f>X38-#REF!</f>
        <v>#REF!</v>
      </c>
      <c r="Y109" s="1" t="e">
        <f>Y38-#REF!</f>
        <v>#REF!</v>
      </c>
      <c r="Z109" s="1" t="e">
        <f>Z38-#REF!</f>
        <v>#REF!</v>
      </c>
      <c r="AA109" s="1" t="e">
        <f>AA38-#REF!</f>
        <v>#REF!</v>
      </c>
      <c r="AB109" s="1" t="e">
        <f>AB38-#REF!</f>
        <v>#REF!</v>
      </c>
      <c r="AC109" s="1" t="e">
        <f>AC38-#REF!</f>
        <v>#REF!</v>
      </c>
      <c r="AD109" s="1" t="e">
        <f>AD38-#REF!</f>
        <v>#REF!</v>
      </c>
      <c r="AE109" s="1" t="e">
        <f>AE38-#REF!</f>
        <v>#REF!</v>
      </c>
      <c r="AF109" s="1" t="e">
        <f>AF38-#REF!</f>
        <v>#REF!</v>
      </c>
      <c r="AG109" s="1" t="e">
        <f>AG38-#REF!</f>
        <v>#REF!</v>
      </c>
      <c r="AH109" s="1" t="e">
        <f>AH38-#REF!</f>
        <v>#REF!</v>
      </c>
      <c r="AI109" s="1" t="e">
        <f>AI38-#REF!</f>
        <v>#REF!</v>
      </c>
      <c r="AJ109" s="1" t="e">
        <f>AJ38-#REF!</f>
        <v>#REF!</v>
      </c>
      <c r="AK109" s="1" t="e">
        <f>AK38-#REF!</f>
        <v>#REF!</v>
      </c>
      <c r="AL109" s="1" t="e">
        <f>AL38-#REF!</f>
        <v>#REF!</v>
      </c>
      <c r="AM109" s="1" t="e">
        <f>AM38-#REF!</f>
        <v>#REF!</v>
      </c>
      <c r="AN109" s="1" t="e">
        <f>AN38-#REF!</f>
        <v>#REF!</v>
      </c>
      <c r="AO109" s="1" t="e">
        <f>AO38-#REF!</f>
        <v>#REF!</v>
      </c>
      <c r="AP109" s="1" t="e">
        <f>AP38-#REF!</f>
        <v>#REF!</v>
      </c>
      <c r="AQ109" s="1" t="e">
        <f>AQ38-#REF!</f>
        <v>#REF!</v>
      </c>
      <c r="AR109" s="1" t="e">
        <f>AR38-#REF!</f>
        <v>#REF!</v>
      </c>
      <c r="AS109" s="1" t="e">
        <f>AS38-#REF!</f>
        <v>#REF!</v>
      </c>
      <c r="AT109" s="1" t="e">
        <f>AT38-#REF!</f>
        <v>#REF!</v>
      </c>
      <c r="AU109" s="1" t="e">
        <f>AU38-#REF!</f>
        <v>#REF!</v>
      </c>
      <c r="AV109" s="1" t="e">
        <f>AV38-#REF!</f>
        <v>#REF!</v>
      </c>
      <c r="AW109" s="1" t="e">
        <f>AW38-#REF!</f>
        <v>#REF!</v>
      </c>
      <c r="AX109" s="1" t="e">
        <f>AX38-#REF!</f>
        <v>#REF!</v>
      </c>
      <c r="AY109" s="1" t="e">
        <f>AY38-#REF!</f>
        <v>#REF!</v>
      </c>
      <c r="AZ109" s="1" t="e">
        <f>AZ38-#REF!</f>
        <v>#REF!</v>
      </c>
      <c r="BA109" s="1" t="e">
        <f>BA38-#REF!</f>
        <v>#REF!</v>
      </c>
      <c r="BB109" s="1" t="e">
        <f>BB38-#REF!</f>
        <v>#REF!</v>
      </c>
      <c r="BC109" s="1" t="e">
        <f>BC38-#REF!</f>
        <v>#REF!</v>
      </c>
      <c r="BD109" s="1" t="e">
        <f>BD38-#REF!</f>
        <v>#REF!</v>
      </c>
      <c r="BE109" s="1" t="e">
        <f>BE38-#REF!</f>
        <v>#REF!</v>
      </c>
      <c r="BF109" s="1" t="e">
        <f>BF38-#REF!</f>
        <v>#REF!</v>
      </c>
      <c r="BG109" s="1" t="e">
        <f>BG38-#REF!</f>
        <v>#REF!</v>
      </c>
      <c r="BH109" s="1" t="e">
        <f>BH38-#REF!</f>
        <v>#REF!</v>
      </c>
      <c r="BI109" s="1" t="e">
        <f>BI38-#REF!</f>
        <v>#REF!</v>
      </c>
      <c r="BJ109" s="1" t="e">
        <f>BJ38-#REF!</f>
        <v>#REF!</v>
      </c>
      <c r="BK109" s="1" t="e">
        <f>BK38-#REF!</f>
        <v>#REF!</v>
      </c>
      <c r="BL109" s="1" t="e">
        <f>BL38-#REF!</f>
        <v>#REF!</v>
      </c>
      <c r="BM109" s="1" t="e">
        <f>BM38-#REF!</f>
        <v>#REF!</v>
      </c>
      <c r="BN109" s="1" t="e">
        <f>BN38-#REF!</f>
        <v>#REF!</v>
      </c>
      <c r="BO109" s="1" t="e">
        <f>BO38-#REF!</f>
        <v>#REF!</v>
      </c>
      <c r="BP109" s="1" t="e">
        <f>BP38-#REF!</f>
        <v>#REF!</v>
      </c>
      <c r="BQ109" s="1" t="e">
        <f>BQ38-#REF!</f>
        <v>#REF!</v>
      </c>
      <c r="BR109" s="1" t="e">
        <f>BR38-#REF!</f>
        <v>#REF!</v>
      </c>
      <c r="BS109" s="1" t="e">
        <f>BS38-#REF!</f>
        <v>#REF!</v>
      </c>
      <c r="BT109" s="1" t="e">
        <f>BT38-#REF!</f>
        <v>#REF!</v>
      </c>
      <c r="BU109" s="1" t="e">
        <f>BU38-#REF!</f>
        <v>#REF!</v>
      </c>
      <c r="BW109" s="1">
        <f>[54]domlongtermissues!BV99</f>
        <v>0</v>
      </c>
    </row>
    <row r="110" spans="13:75" hidden="1" x14ac:dyDescent="0.2">
      <c r="M110" s="1" t="e">
        <f>M39-#REF!</f>
        <v>#REF!</v>
      </c>
      <c r="N110" s="1" t="e">
        <f>N39-#REF!</f>
        <v>#REF!</v>
      </c>
      <c r="O110" s="1" t="e">
        <f>O39-#REF!</f>
        <v>#REF!</v>
      </c>
      <c r="P110" s="1" t="e">
        <f>P39-#REF!</f>
        <v>#REF!</v>
      </c>
      <c r="Q110" s="1" t="e">
        <f>Q39-#REF!</f>
        <v>#REF!</v>
      </c>
      <c r="R110" s="1" t="e">
        <f>R39-#REF!</f>
        <v>#REF!</v>
      </c>
      <c r="S110" s="1" t="e">
        <f>S39-#REF!</f>
        <v>#REF!</v>
      </c>
      <c r="T110" s="1" t="e">
        <f>T39-#REF!</f>
        <v>#REF!</v>
      </c>
      <c r="U110" s="1" t="e">
        <f>U39-#REF!</f>
        <v>#REF!</v>
      </c>
      <c r="V110" s="1" t="e">
        <f>V39-#REF!</f>
        <v>#REF!</v>
      </c>
      <c r="W110" s="1" t="e">
        <f>W39-#REF!</f>
        <v>#REF!</v>
      </c>
      <c r="X110" s="1" t="e">
        <f>X39-#REF!</f>
        <v>#REF!</v>
      </c>
      <c r="Y110" s="1" t="e">
        <f>Y39-#REF!</f>
        <v>#REF!</v>
      </c>
      <c r="Z110" s="1" t="e">
        <f>Z39-#REF!</f>
        <v>#REF!</v>
      </c>
      <c r="AA110" s="1" t="e">
        <f>AA39-#REF!</f>
        <v>#REF!</v>
      </c>
      <c r="AB110" s="1" t="e">
        <f>AB39-#REF!</f>
        <v>#REF!</v>
      </c>
      <c r="AC110" s="1" t="e">
        <f>AC39-#REF!</f>
        <v>#REF!</v>
      </c>
      <c r="AD110" s="1" t="e">
        <f>AD39-#REF!</f>
        <v>#REF!</v>
      </c>
      <c r="AE110" s="1" t="e">
        <f>AE39-#REF!</f>
        <v>#REF!</v>
      </c>
      <c r="AF110" s="1" t="e">
        <f>AF39-#REF!</f>
        <v>#REF!</v>
      </c>
      <c r="AG110" s="1" t="e">
        <f>AG39-#REF!</f>
        <v>#REF!</v>
      </c>
      <c r="AH110" s="1" t="e">
        <f>AH39-#REF!</f>
        <v>#REF!</v>
      </c>
      <c r="AI110" s="1" t="e">
        <f>AI39-#REF!</f>
        <v>#REF!</v>
      </c>
      <c r="AJ110" s="1" t="e">
        <f>AJ39-#REF!</f>
        <v>#REF!</v>
      </c>
      <c r="AK110" s="1" t="e">
        <f>AK39-#REF!</f>
        <v>#REF!</v>
      </c>
      <c r="AL110" s="1" t="e">
        <f>AL39-#REF!</f>
        <v>#REF!</v>
      </c>
      <c r="AM110" s="1" t="e">
        <f>AM39-#REF!</f>
        <v>#REF!</v>
      </c>
      <c r="AN110" s="1" t="e">
        <f>AN39-#REF!</f>
        <v>#REF!</v>
      </c>
      <c r="AO110" s="1" t="e">
        <f>AO39-#REF!</f>
        <v>#REF!</v>
      </c>
      <c r="AP110" s="1" t="e">
        <f>AP39-#REF!</f>
        <v>#REF!</v>
      </c>
      <c r="AQ110" s="1" t="e">
        <f>AQ39-#REF!</f>
        <v>#REF!</v>
      </c>
      <c r="AR110" s="1" t="e">
        <f>AR39-#REF!</f>
        <v>#REF!</v>
      </c>
      <c r="AS110" s="1" t="e">
        <f>AS39-#REF!</f>
        <v>#REF!</v>
      </c>
      <c r="AT110" s="1" t="e">
        <f>AT39-#REF!</f>
        <v>#REF!</v>
      </c>
      <c r="AU110" s="1" t="e">
        <f>AU39-#REF!</f>
        <v>#REF!</v>
      </c>
      <c r="AV110" s="1" t="e">
        <f>AV39-#REF!</f>
        <v>#REF!</v>
      </c>
      <c r="AW110" s="1" t="e">
        <f>AW39-#REF!</f>
        <v>#REF!</v>
      </c>
      <c r="AX110" s="1" t="e">
        <f>AX39-#REF!</f>
        <v>#REF!</v>
      </c>
      <c r="AY110" s="1" t="e">
        <f>AY39-#REF!</f>
        <v>#REF!</v>
      </c>
      <c r="AZ110" s="1" t="e">
        <f>AZ39-#REF!</f>
        <v>#REF!</v>
      </c>
      <c r="BA110" s="1" t="e">
        <f>BA39-#REF!</f>
        <v>#REF!</v>
      </c>
      <c r="BB110" s="1" t="e">
        <f>BB39-#REF!</f>
        <v>#REF!</v>
      </c>
      <c r="BC110" s="1" t="e">
        <f>BC39-#REF!</f>
        <v>#REF!</v>
      </c>
      <c r="BD110" s="1" t="e">
        <f>BD39-#REF!</f>
        <v>#REF!</v>
      </c>
      <c r="BE110" s="1" t="e">
        <f>BE39-#REF!</f>
        <v>#REF!</v>
      </c>
      <c r="BF110" s="1" t="e">
        <f>BF39-#REF!</f>
        <v>#REF!</v>
      </c>
      <c r="BG110" s="1" t="e">
        <f>BG39-#REF!</f>
        <v>#REF!</v>
      </c>
      <c r="BH110" s="1" t="e">
        <f>BH39-#REF!</f>
        <v>#REF!</v>
      </c>
      <c r="BI110" s="1" t="e">
        <f>BI39-#REF!</f>
        <v>#REF!</v>
      </c>
      <c r="BJ110" s="1" t="e">
        <f>BJ39-#REF!</f>
        <v>#REF!</v>
      </c>
      <c r="BK110" s="1" t="e">
        <f>BK39-#REF!</f>
        <v>#REF!</v>
      </c>
      <c r="BL110" s="1" t="e">
        <f>BL39-#REF!</f>
        <v>#REF!</v>
      </c>
      <c r="BM110" s="1" t="e">
        <f>BM39-#REF!</f>
        <v>#REF!</v>
      </c>
      <c r="BN110" s="1" t="e">
        <f>BN39-#REF!</f>
        <v>#REF!</v>
      </c>
      <c r="BO110" s="1" t="e">
        <f>BO39-#REF!</f>
        <v>#REF!</v>
      </c>
      <c r="BP110" s="1" t="e">
        <f>BP39-#REF!</f>
        <v>#REF!</v>
      </c>
      <c r="BQ110" s="1" t="e">
        <f>BQ39-#REF!</f>
        <v>#REF!</v>
      </c>
      <c r="BR110" s="1" t="e">
        <f>BR39-#REF!</f>
        <v>#REF!</v>
      </c>
      <c r="BS110" s="1" t="e">
        <f>BS39-#REF!</f>
        <v>#REF!</v>
      </c>
      <c r="BT110" s="1" t="e">
        <f>BT39-#REF!</f>
        <v>#REF!</v>
      </c>
      <c r="BU110" s="1" t="e">
        <f>BU39-#REF!</f>
        <v>#REF!</v>
      </c>
    </row>
    <row r="111" spans="13:75" hidden="1" x14ac:dyDescent="0.2">
      <c r="M111" s="1" t="e">
        <f>M40-#REF!</f>
        <v>#REF!</v>
      </c>
      <c r="N111" s="1" t="e">
        <f>N40-#REF!</f>
        <v>#REF!</v>
      </c>
      <c r="O111" s="1" t="e">
        <f>O40-#REF!</f>
        <v>#REF!</v>
      </c>
      <c r="P111" s="1" t="e">
        <f>P40-#REF!</f>
        <v>#REF!</v>
      </c>
      <c r="Q111" s="1" t="e">
        <f>Q40-#REF!</f>
        <v>#REF!</v>
      </c>
      <c r="R111" s="1" t="e">
        <f>R40-#REF!</f>
        <v>#REF!</v>
      </c>
      <c r="S111" s="1" t="e">
        <f>S40-#REF!</f>
        <v>#REF!</v>
      </c>
      <c r="T111" s="1" t="e">
        <f>T40-#REF!</f>
        <v>#REF!</v>
      </c>
      <c r="U111" s="1" t="e">
        <f>U40-#REF!</f>
        <v>#REF!</v>
      </c>
      <c r="V111" s="1" t="e">
        <f>V40-#REF!</f>
        <v>#REF!</v>
      </c>
      <c r="W111" s="1" t="e">
        <f>W40-#REF!</f>
        <v>#REF!</v>
      </c>
      <c r="X111" s="1" t="e">
        <f>X40-#REF!</f>
        <v>#REF!</v>
      </c>
      <c r="Y111" s="1" t="e">
        <f>Y40-#REF!</f>
        <v>#REF!</v>
      </c>
      <c r="Z111" s="1" t="e">
        <f>Z40-#REF!</f>
        <v>#REF!</v>
      </c>
      <c r="AA111" s="1" t="e">
        <f>AA40-#REF!</f>
        <v>#REF!</v>
      </c>
      <c r="AB111" s="1" t="e">
        <f>AB40-#REF!</f>
        <v>#REF!</v>
      </c>
      <c r="AC111" s="1" t="e">
        <f>AC40-#REF!</f>
        <v>#REF!</v>
      </c>
      <c r="AD111" s="1" t="e">
        <f>AD40-#REF!</f>
        <v>#REF!</v>
      </c>
      <c r="AE111" s="1" t="e">
        <f>AE40-#REF!</f>
        <v>#REF!</v>
      </c>
      <c r="AF111" s="1" t="e">
        <f>AF40-#REF!</f>
        <v>#REF!</v>
      </c>
      <c r="AG111" s="1" t="e">
        <f>AG40-#REF!</f>
        <v>#REF!</v>
      </c>
      <c r="AH111" s="1" t="e">
        <f>AH40-#REF!</f>
        <v>#REF!</v>
      </c>
      <c r="AI111" s="1" t="e">
        <f>AI40-#REF!</f>
        <v>#REF!</v>
      </c>
      <c r="AJ111" s="1" t="e">
        <f>AJ40-#REF!</f>
        <v>#REF!</v>
      </c>
      <c r="AK111" s="1" t="e">
        <f>AK40-#REF!</f>
        <v>#REF!</v>
      </c>
      <c r="AL111" s="1" t="e">
        <f>AL40-#REF!</f>
        <v>#REF!</v>
      </c>
      <c r="AM111" s="1" t="e">
        <f>AM40-#REF!</f>
        <v>#REF!</v>
      </c>
      <c r="AN111" s="1" t="e">
        <f>AN40-#REF!</f>
        <v>#REF!</v>
      </c>
      <c r="AO111" s="1" t="e">
        <f>AO40-#REF!</f>
        <v>#REF!</v>
      </c>
      <c r="AP111" s="1" t="e">
        <f>AP40-#REF!</f>
        <v>#REF!</v>
      </c>
      <c r="AQ111" s="1" t="e">
        <f>AQ40-#REF!</f>
        <v>#REF!</v>
      </c>
      <c r="AR111" s="1" t="e">
        <f>AR40-#REF!</f>
        <v>#REF!</v>
      </c>
      <c r="AS111" s="1" t="e">
        <f>AS40-#REF!</f>
        <v>#REF!</v>
      </c>
      <c r="AT111" s="1" t="e">
        <f>AT40-#REF!</f>
        <v>#REF!</v>
      </c>
      <c r="AU111" s="1" t="e">
        <f>AU40-#REF!</f>
        <v>#REF!</v>
      </c>
      <c r="AV111" s="1" t="e">
        <f>AV40-#REF!</f>
        <v>#REF!</v>
      </c>
      <c r="AW111" s="1" t="e">
        <f>AW40-#REF!</f>
        <v>#REF!</v>
      </c>
      <c r="AX111" s="1" t="e">
        <f>AX40-#REF!</f>
        <v>#REF!</v>
      </c>
      <c r="AY111" s="1" t="e">
        <f>AY40-#REF!</f>
        <v>#REF!</v>
      </c>
      <c r="AZ111" s="1" t="e">
        <f>AZ40-#REF!</f>
        <v>#REF!</v>
      </c>
      <c r="BA111" s="1" t="e">
        <f>BA40-#REF!</f>
        <v>#REF!</v>
      </c>
      <c r="BB111" s="1" t="e">
        <f>BB40-#REF!</f>
        <v>#REF!</v>
      </c>
      <c r="BC111" s="1" t="e">
        <f>BC40-#REF!</f>
        <v>#REF!</v>
      </c>
      <c r="BD111" s="1" t="e">
        <f>BD40-#REF!</f>
        <v>#REF!</v>
      </c>
      <c r="BE111" s="1" t="e">
        <f>BE40-#REF!</f>
        <v>#REF!</v>
      </c>
      <c r="BF111" s="1" t="e">
        <f>BF40-#REF!</f>
        <v>#REF!</v>
      </c>
      <c r="BG111" s="1" t="e">
        <f>BG40-#REF!</f>
        <v>#REF!</v>
      </c>
      <c r="BH111" s="1" t="e">
        <f>BH40-#REF!</f>
        <v>#REF!</v>
      </c>
      <c r="BI111" s="1" t="e">
        <f>BI40-#REF!</f>
        <v>#REF!</v>
      </c>
      <c r="BJ111" s="1" t="e">
        <f>BJ40-#REF!</f>
        <v>#REF!</v>
      </c>
      <c r="BK111" s="1" t="e">
        <f>BK40-#REF!</f>
        <v>#REF!</v>
      </c>
      <c r="BL111" s="1" t="e">
        <f>BL40-#REF!</f>
        <v>#REF!</v>
      </c>
      <c r="BM111" s="1" t="e">
        <f>BM40-#REF!</f>
        <v>#REF!</v>
      </c>
      <c r="BN111" s="1" t="e">
        <f>BN40-#REF!</f>
        <v>#REF!</v>
      </c>
      <c r="BO111" s="1" t="e">
        <f>BO40-#REF!</f>
        <v>#REF!</v>
      </c>
      <c r="BP111" s="1" t="e">
        <f>BP40-#REF!</f>
        <v>#REF!</v>
      </c>
      <c r="BQ111" s="1" t="e">
        <f>BQ40-#REF!</f>
        <v>#REF!</v>
      </c>
      <c r="BR111" s="1" t="e">
        <f>BR40-#REF!</f>
        <v>#REF!</v>
      </c>
      <c r="BS111" s="1" t="e">
        <f>BS40-#REF!</f>
        <v>#REF!</v>
      </c>
      <c r="BT111" s="1" t="e">
        <f>BT40-#REF!</f>
        <v>#REF!</v>
      </c>
      <c r="BU111" s="1" t="e">
        <f>BU40-#REF!</f>
        <v>#REF!</v>
      </c>
    </row>
    <row r="112" spans="13:75" hidden="1" x14ac:dyDescent="0.2">
      <c r="M112" s="1" t="e">
        <f>M41-#REF!</f>
        <v>#REF!</v>
      </c>
      <c r="N112" s="1" t="e">
        <f>N41-#REF!</f>
        <v>#REF!</v>
      </c>
      <c r="O112" s="1" t="e">
        <f>O41-#REF!</f>
        <v>#REF!</v>
      </c>
      <c r="P112" s="1" t="e">
        <f>P41-#REF!</f>
        <v>#REF!</v>
      </c>
      <c r="Q112" s="1" t="e">
        <f>Q41-#REF!</f>
        <v>#REF!</v>
      </c>
      <c r="R112" s="1" t="e">
        <f>R41-#REF!</f>
        <v>#REF!</v>
      </c>
      <c r="S112" s="1" t="e">
        <f>S41-#REF!</f>
        <v>#REF!</v>
      </c>
      <c r="T112" s="1" t="e">
        <f>T41-#REF!</f>
        <v>#REF!</v>
      </c>
      <c r="U112" s="1" t="e">
        <f>U41-#REF!</f>
        <v>#REF!</v>
      </c>
      <c r="V112" s="1" t="e">
        <f>V41-#REF!</f>
        <v>#REF!</v>
      </c>
      <c r="W112" s="1" t="e">
        <f>W41-#REF!</f>
        <v>#REF!</v>
      </c>
      <c r="X112" s="1" t="e">
        <f>X41-#REF!</f>
        <v>#REF!</v>
      </c>
      <c r="Y112" s="1" t="e">
        <f>Y41-#REF!</f>
        <v>#REF!</v>
      </c>
      <c r="Z112" s="1" t="e">
        <f>Z41-#REF!</f>
        <v>#REF!</v>
      </c>
      <c r="AA112" s="1" t="e">
        <f>AA41-#REF!</f>
        <v>#REF!</v>
      </c>
      <c r="AB112" s="1" t="e">
        <f>AB41-#REF!</f>
        <v>#REF!</v>
      </c>
      <c r="AC112" s="1" t="e">
        <f>AC41-#REF!</f>
        <v>#REF!</v>
      </c>
      <c r="AD112" s="1" t="e">
        <f>AD41-#REF!</f>
        <v>#REF!</v>
      </c>
      <c r="AE112" s="1" t="e">
        <f>AE41-#REF!</f>
        <v>#REF!</v>
      </c>
      <c r="AF112" s="1" t="e">
        <f>AF41-#REF!</f>
        <v>#REF!</v>
      </c>
      <c r="AG112" s="1" t="e">
        <f>AG41-#REF!</f>
        <v>#REF!</v>
      </c>
      <c r="AH112" s="1" t="e">
        <f>AH41-#REF!</f>
        <v>#REF!</v>
      </c>
      <c r="AI112" s="1" t="e">
        <f>AI41-#REF!</f>
        <v>#REF!</v>
      </c>
      <c r="AJ112" s="1" t="e">
        <f>AJ41-#REF!</f>
        <v>#REF!</v>
      </c>
      <c r="AK112" s="1" t="e">
        <f>AK41-#REF!</f>
        <v>#REF!</v>
      </c>
      <c r="AL112" s="1" t="e">
        <f>AL41-#REF!</f>
        <v>#REF!</v>
      </c>
      <c r="AM112" s="1" t="e">
        <f>AM41-#REF!</f>
        <v>#REF!</v>
      </c>
      <c r="AN112" s="1" t="e">
        <f>AN41-#REF!</f>
        <v>#REF!</v>
      </c>
      <c r="AO112" s="1" t="e">
        <f>AO41-#REF!</f>
        <v>#REF!</v>
      </c>
      <c r="AP112" s="1" t="e">
        <f>AP41-#REF!</f>
        <v>#REF!</v>
      </c>
      <c r="AQ112" s="1" t="e">
        <f>AQ41-#REF!</f>
        <v>#REF!</v>
      </c>
      <c r="AR112" s="1" t="e">
        <f>AR41-#REF!</f>
        <v>#REF!</v>
      </c>
      <c r="AS112" s="1" t="e">
        <f>AS41-#REF!</f>
        <v>#REF!</v>
      </c>
      <c r="AT112" s="1" t="e">
        <f>AT41-#REF!</f>
        <v>#REF!</v>
      </c>
      <c r="AU112" s="1" t="e">
        <f>AU41-#REF!</f>
        <v>#REF!</v>
      </c>
      <c r="AV112" s="1" t="e">
        <f>AV41-#REF!</f>
        <v>#REF!</v>
      </c>
      <c r="AW112" s="1" t="e">
        <f>AW41-#REF!</f>
        <v>#REF!</v>
      </c>
      <c r="AX112" s="1" t="e">
        <f>AX41-#REF!</f>
        <v>#REF!</v>
      </c>
      <c r="AY112" s="1" t="e">
        <f>AY41-#REF!</f>
        <v>#REF!</v>
      </c>
      <c r="AZ112" s="1" t="e">
        <f>AZ41-#REF!</f>
        <v>#REF!</v>
      </c>
      <c r="BA112" s="1" t="e">
        <f>BA41-#REF!</f>
        <v>#REF!</v>
      </c>
      <c r="BB112" s="1" t="e">
        <f>BB41-#REF!</f>
        <v>#REF!</v>
      </c>
      <c r="BC112" s="1" t="e">
        <f>BC41-#REF!</f>
        <v>#REF!</v>
      </c>
      <c r="BD112" s="1" t="e">
        <f>BD41-#REF!</f>
        <v>#REF!</v>
      </c>
      <c r="BE112" s="1" t="e">
        <f>BE41-#REF!</f>
        <v>#REF!</v>
      </c>
      <c r="BF112" s="1" t="e">
        <f>BF41-#REF!</f>
        <v>#REF!</v>
      </c>
      <c r="BG112" s="1" t="e">
        <f>BG41-#REF!</f>
        <v>#REF!</v>
      </c>
      <c r="BH112" s="1" t="e">
        <f>BH41-#REF!</f>
        <v>#REF!</v>
      </c>
      <c r="BI112" s="1" t="e">
        <f>BI41-#REF!</f>
        <v>#REF!</v>
      </c>
      <c r="BJ112" s="1" t="e">
        <f>BJ41-#REF!</f>
        <v>#REF!</v>
      </c>
      <c r="BK112" s="1" t="e">
        <f>BK41-#REF!</f>
        <v>#REF!</v>
      </c>
      <c r="BL112" s="1" t="e">
        <f>BL41-#REF!</f>
        <v>#REF!</v>
      </c>
      <c r="BM112" s="1" t="e">
        <f>BM41-#REF!</f>
        <v>#REF!</v>
      </c>
      <c r="BN112" s="1" t="e">
        <f>BN41-#REF!</f>
        <v>#REF!</v>
      </c>
      <c r="BO112" s="1" t="e">
        <f>BO41-#REF!</f>
        <v>#REF!</v>
      </c>
      <c r="BP112" s="1" t="e">
        <f>BP41-#REF!</f>
        <v>#REF!</v>
      </c>
      <c r="BQ112" s="1" t="e">
        <f>BQ41-#REF!</f>
        <v>#REF!</v>
      </c>
      <c r="BR112" s="1" t="e">
        <f>BR41-#REF!</f>
        <v>#REF!</v>
      </c>
      <c r="BS112" s="1" t="e">
        <f>BS41-#REF!</f>
        <v>#REF!</v>
      </c>
      <c r="BT112" s="1" t="e">
        <f>BT41-#REF!</f>
        <v>#REF!</v>
      </c>
      <c r="BU112" s="1" t="e">
        <f>BU41-#REF!</f>
        <v>#REF!</v>
      </c>
    </row>
    <row r="113" spans="75:75" hidden="1" x14ac:dyDescent="0.2">
      <c r="BW113" s="10">
        <f>+BW114+BW122+BW129</f>
        <v>0</v>
      </c>
    </row>
    <row r="114" spans="75:75" hidden="1" x14ac:dyDescent="0.2">
      <c r="BW114" s="1">
        <f>SUM(BW115:BW120)</f>
        <v>0</v>
      </c>
    </row>
    <row r="115" spans="75:75" hidden="1" x14ac:dyDescent="0.2">
      <c r="BW115" s="1">
        <f>+[54]foreigndebt!BV113</f>
        <v>0</v>
      </c>
    </row>
    <row r="116" spans="75:75" hidden="1" x14ac:dyDescent="0.2">
      <c r="BW116" s="1">
        <f>-[54]foreigndebt!BV115</f>
        <v>0</v>
      </c>
    </row>
    <row r="117" spans="75:75" hidden="1" x14ac:dyDescent="0.2"/>
    <row r="118" spans="75:75" hidden="1" x14ac:dyDescent="0.2"/>
    <row r="119" spans="75:75" hidden="1" x14ac:dyDescent="0.2">
      <c r="BW119" s="1">
        <f>-[54]foreigndebt!BV184</f>
        <v>0</v>
      </c>
    </row>
    <row r="120" spans="75:75" hidden="1" x14ac:dyDescent="0.2">
      <c r="BW120" s="1">
        <f>-[54]foreigndebt!BV185</f>
        <v>0</v>
      </c>
    </row>
    <row r="121" spans="75:75" hidden="1" x14ac:dyDescent="0.2"/>
    <row r="122" spans="75:75" hidden="1" x14ac:dyDescent="0.2">
      <c r="BW122" s="1">
        <f>SUM(BW123:BW127)</f>
        <v>0</v>
      </c>
    </row>
    <row r="123" spans="75:75" hidden="1" x14ac:dyDescent="0.2">
      <c r="BW123" s="1">
        <f>[54]foreigndebt!BV134</f>
        <v>0</v>
      </c>
    </row>
    <row r="124" spans="75:75" hidden="1" x14ac:dyDescent="0.2">
      <c r="BW124" s="1">
        <f>-[54]foreigndebt!BV136</f>
        <v>0</v>
      </c>
    </row>
    <row r="125" spans="75:75" hidden="1" x14ac:dyDescent="0.2"/>
    <row r="126" spans="75:75" hidden="1" x14ac:dyDescent="0.2">
      <c r="BW126" s="1">
        <f>-[54]foreigndebt!BV227</f>
        <v>0</v>
      </c>
    </row>
    <row r="127" spans="75:75" hidden="1" x14ac:dyDescent="0.2">
      <c r="BW127" s="1">
        <f>-[54]foreigndebt!BV228</f>
        <v>0</v>
      </c>
    </row>
    <row r="128" spans="75:75" hidden="1" x14ac:dyDescent="0.2"/>
    <row r="129" spans="75:75" hidden="1" x14ac:dyDescent="0.2">
      <c r="BW129" s="1">
        <f>SUM(BW130:BW134)</f>
        <v>0</v>
      </c>
    </row>
    <row r="130" spans="75:75" hidden="1" x14ac:dyDescent="0.2">
      <c r="BW130" s="1">
        <f>[54]foreigndebt!BV148</f>
        <v>0</v>
      </c>
    </row>
    <row r="131" spans="75:75" hidden="1" x14ac:dyDescent="0.2">
      <c r="BW131" s="1">
        <f>-[54]foreigndebt!BV150</f>
        <v>0</v>
      </c>
    </row>
    <row r="132" spans="75:75" hidden="1" x14ac:dyDescent="0.2"/>
    <row r="133" spans="75:75" hidden="1" x14ac:dyDescent="0.2">
      <c r="BW133" s="1">
        <f>-[54]foreigndebt!BV239</f>
        <v>0</v>
      </c>
    </row>
    <row r="134" spans="75:75" hidden="1" x14ac:dyDescent="0.2">
      <c r="BW134" s="1">
        <f>-[54]foreigndebt!BV240</f>
        <v>0</v>
      </c>
    </row>
    <row r="135" spans="75:75" hidden="1" x14ac:dyDescent="0.2"/>
    <row r="136" spans="75:75" hidden="1" x14ac:dyDescent="0.2"/>
    <row r="137" spans="75:75" hidden="1" x14ac:dyDescent="0.2">
      <c r="BW137" s="10">
        <f>SUM(BW138:BW145)</f>
        <v>1</v>
      </c>
    </row>
    <row r="138" spans="75:75" hidden="1" x14ac:dyDescent="0.2">
      <c r="BW138" s="1">
        <f>+[54]cashbalances!BW86</f>
        <v>0</v>
      </c>
    </row>
    <row r="139" spans="75:75" hidden="1" x14ac:dyDescent="0.2"/>
    <row r="140" spans="75:75" hidden="1" x14ac:dyDescent="0.2">
      <c r="BW140" s="1">
        <f>+[54]cashbalances!BW97</f>
        <v>0</v>
      </c>
    </row>
    <row r="141" spans="75:75" hidden="1" x14ac:dyDescent="0.2">
      <c r="BW141" s="1">
        <f>[54]cashbalances!BW99</f>
        <v>0</v>
      </c>
    </row>
    <row r="142" spans="75:75" hidden="1" x14ac:dyDescent="0.2">
      <c r="BW142" s="1">
        <f>+[54]cashbalances!BW101</f>
        <v>0</v>
      </c>
    </row>
    <row r="143" spans="75:75" hidden="1" x14ac:dyDescent="0.2">
      <c r="BW143" s="1">
        <f>+[54]cashbalances!BW106</f>
        <v>0</v>
      </c>
    </row>
    <row r="144" spans="75:75" hidden="1" x14ac:dyDescent="0.2"/>
    <row r="145" spans="75:75" x14ac:dyDescent="0.2">
      <c r="BW145" s="1">
        <f>+[54]cashbalances!BW112+1</f>
        <v>1</v>
      </c>
    </row>
    <row r="147" spans="75:75" x14ac:dyDescent="0.2">
      <c r="BW147" s="10" t="e">
        <f>+BW81+BW91+BW113+BW137</f>
        <v>#REF!</v>
      </c>
    </row>
  </sheetData>
  <mergeCells count="1">
    <mergeCell ref="H8:BU8"/>
  </mergeCells>
  <pageMargins left="0.7" right="0.7" top="0.75" bottom="0.75" header="0.3" footer="0.3"/>
  <pageSetup paperSize="9" scale="26"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I350"/>
  <sheetViews>
    <sheetView view="pageBreakPreview" topLeftCell="C332" zoomScale="110" zoomScaleNormal="100" zoomScaleSheetLayoutView="110" workbookViewId="0">
      <selection activeCell="R141" sqref="A141:XFD145"/>
    </sheetView>
  </sheetViews>
  <sheetFormatPr defaultColWidth="10" defaultRowHeight="12.75" x14ac:dyDescent="0.2"/>
  <cols>
    <col min="1" max="1" width="1.85546875" style="1" hidden="1" customWidth="1"/>
    <col min="2" max="2" width="1.140625" style="1" hidden="1" customWidth="1"/>
    <col min="3" max="3" width="1" style="1" customWidth="1"/>
    <col min="4" max="4" width="56" style="1" customWidth="1"/>
    <col min="5" max="5" width="1" style="156" customWidth="1"/>
    <col min="6" max="6" width="1" style="1" customWidth="1"/>
    <col min="7" max="7" width="14.42578125" style="1" customWidth="1"/>
    <col min="8" max="11" width="1" style="1" customWidth="1"/>
    <col min="12" max="12" width="17.85546875" style="1" customWidth="1"/>
    <col min="13" max="16" width="1" style="1" customWidth="1"/>
    <col min="17" max="17" width="14.42578125" style="1" customWidth="1"/>
    <col min="18" max="21" width="1" style="1" customWidth="1"/>
    <col min="22" max="22" width="17.85546875" style="1" customWidth="1"/>
    <col min="23" max="26" width="1" style="1" customWidth="1"/>
    <col min="27" max="27" width="17.85546875" style="1" customWidth="1"/>
    <col min="28" max="31" width="1" style="1" customWidth="1"/>
    <col min="32" max="32" width="17.85546875" style="1" customWidth="1"/>
    <col min="33" max="35" width="1" style="1" customWidth="1"/>
    <col min="36" max="36" width="1.140625" style="1" customWidth="1"/>
    <col min="37" max="37" width="17.85546875" style="1" customWidth="1"/>
    <col min="38" max="41" width="1" style="1" customWidth="1"/>
    <col min="42" max="42" width="17.85546875" style="1" customWidth="1"/>
    <col min="43" max="46" width="1" style="1" customWidth="1"/>
    <col min="47" max="47" width="17.85546875" style="1" customWidth="1"/>
    <col min="48" max="51" width="1" style="1" customWidth="1"/>
    <col min="52" max="52" width="17.85546875" style="1" customWidth="1"/>
    <col min="53" max="56" width="1" style="1" customWidth="1"/>
    <col min="57" max="57" width="17.85546875" style="1" customWidth="1"/>
    <col min="58" max="59" width="1" style="1" customWidth="1"/>
    <col min="60" max="61" width="1" style="1" hidden="1" customWidth="1"/>
    <col min="62" max="62" width="17.85546875" style="1" hidden="1" customWidth="1"/>
    <col min="63" max="66" width="1" style="1" hidden="1" customWidth="1"/>
    <col min="67" max="67" width="17.85546875" style="1" hidden="1" customWidth="1"/>
    <col min="68" max="69" width="1" style="1" hidden="1" customWidth="1"/>
    <col min="70" max="71" width="1" style="1" customWidth="1"/>
    <col min="72" max="72" width="17.85546875" style="1" customWidth="1"/>
    <col min="73" max="74" width="1" style="1" customWidth="1"/>
    <col min="75" max="75" width="2" style="1" customWidth="1"/>
    <col min="76" max="76" width="3.85546875" style="1" customWidth="1"/>
    <col min="77" max="77" width="15.7109375" style="1" customWidth="1"/>
    <col min="78" max="78" width="13.42578125" style="1" bestFit="1" customWidth="1"/>
    <col min="79" max="79" width="13.85546875" style="1" customWidth="1"/>
    <col min="80" max="80" width="13.42578125" style="1" bestFit="1" customWidth="1"/>
    <col min="81" max="186" width="10" style="1"/>
    <col min="187" max="188" width="0" style="1" hidden="1" customWidth="1"/>
    <col min="189" max="189" width="1" style="1" customWidth="1"/>
    <col min="190" max="190" width="56" style="1" customWidth="1"/>
    <col min="191" max="192" width="1" style="1" customWidth="1"/>
    <col min="193" max="193" width="14.42578125" style="1" customWidth="1"/>
    <col min="194" max="195" width="1" style="1" customWidth="1"/>
    <col min="196" max="240" width="0" style="1" hidden="1" customWidth="1"/>
    <col min="241" max="242" width="1" style="1" customWidth="1"/>
    <col min="243" max="243" width="17.85546875" style="1" customWidth="1"/>
    <col min="244" max="245" width="1" style="1" customWidth="1"/>
    <col min="246" max="255" width="0" style="1" hidden="1" customWidth="1"/>
    <col min="256" max="257" width="1" style="1" customWidth="1"/>
    <col min="258" max="258" width="17.85546875" style="1" customWidth="1"/>
    <col min="259" max="262" width="1" style="1" customWidth="1"/>
    <col min="263" max="263" width="17.85546875" style="1" customWidth="1"/>
    <col min="264" max="265" width="1" style="1" customWidth="1"/>
    <col min="266" max="310" width="0" style="1" hidden="1" customWidth="1"/>
    <col min="311" max="312" width="1" style="1" customWidth="1"/>
    <col min="313" max="313" width="17.85546875" style="1" customWidth="1"/>
    <col min="314" max="315" width="1" style="1" customWidth="1"/>
    <col min="316" max="325" width="0" style="1" hidden="1" customWidth="1"/>
    <col min="326" max="327" width="1" style="1" customWidth="1"/>
    <col min="328" max="328" width="14.42578125" style="1" customWidth="1"/>
    <col min="329" max="330" width="1" style="1" customWidth="1"/>
    <col min="331" max="331" width="2" style="1" customWidth="1"/>
    <col min="332" max="332" width="3.85546875" style="1" customWidth="1"/>
    <col min="333" max="333" width="15.7109375" style="1" customWidth="1"/>
    <col min="334" max="334" width="13.42578125" style="1" bestFit="1" customWidth="1"/>
    <col min="335" max="335" width="13.85546875" style="1" customWidth="1"/>
    <col min="336" max="336" width="13.42578125" style="1" bestFit="1" customWidth="1"/>
    <col min="337" max="442" width="10" style="1"/>
    <col min="443" max="444" width="0" style="1" hidden="1" customWidth="1"/>
    <col min="445" max="445" width="1" style="1" customWidth="1"/>
    <col min="446" max="446" width="56" style="1" customWidth="1"/>
    <col min="447" max="448" width="1" style="1" customWidth="1"/>
    <col min="449" max="449" width="14.42578125" style="1" customWidth="1"/>
    <col min="450" max="451" width="1" style="1" customWidth="1"/>
    <col min="452" max="496" width="0" style="1" hidden="1" customWidth="1"/>
    <col min="497" max="498" width="1" style="1" customWidth="1"/>
    <col min="499" max="499" width="17.85546875" style="1" customWidth="1"/>
    <col min="500" max="501" width="1" style="1" customWidth="1"/>
    <col min="502" max="511" width="0" style="1" hidden="1" customWidth="1"/>
    <col min="512" max="513" width="1" style="1" customWidth="1"/>
    <col min="514" max="514" width="17.85546875" style="1" customWidth="1"/>
    <col min="515" max="518" width="1" style="1" customWidth="1"/>
    <col min="519" max="519" width="17.85546875" style="1" customWidth="1"/>
    <col min="520" max="521" width="1" style="1" customWidth="1"/>
    <col min="522" max="566" width="0" style="1" hidden="1" customWidth="1"/>
    <col min="567" max="568" width="1" style="1" customWidth="1"/>
    <col min="569" max="569" width="17.85546875" style="1" customWidth="1"/>
    <col min="570" max="571" width="1" style="1" customWidth="1"/>
    <col min="572" max="581" width="0" style="1" hidden="1" customWidth="1"/>
    <col min="582" max="583" width="1" style="1" customWidth="1"/>
    <col min="584" max="584" width="14.42578125" style="1" customWidth="1"/>
    <col min="585" max="586" width="1" style="1" customWidth="1"/>
    <col min="587" max="587" width="2" style="1" customWidth="1"/>
    <col min="588" max="588" width="3.85546875" style="1" customWidth="1"/>
    <col min="589" max="589" width="15.7109375" style="1" customWidth="1"/>
    <col min="590" max="590" width="13.42578125" style="1" bestFit="1" customWidth="1"/>
    <col min="591" max="591" width="13.85546875" style="1" customWidth="1"/>
    <col min="592" max="592" width="13.42578125" style="1" bestFit="1" customWidth="1"/>
    <col min="593" max="698" width="10" style="1"/>
    <col min="699" max="700" width="0" style="1" hidden="1" customWidth="1"/>
    <col min="701" max="701" width="1" style="1" customWidth="1"/>
    <col min="702" max="702" width="56" style="1" customWidth="1"/>
    <col min="703" max="704" width="1" style="1" customWidth="1"/>
    <col min="705" max="705" width="14.42578125" style="1" customWidth="1"/>
    <col min="706" max="707" width="1" style="1" customWidth="1"/>
    <col min="708" max="752" width="0" style="1" hidden="1" customWidth="1"/>
    <col min="753" max="754" width="1" style="1" customWidth="1"/>
    <col min="755" max="755" width="17.85546875" style="1" customWidth="1"/>
    <col min="756" max="757" width="1" style="1" customWidth="1"/>
    <col min="758" max="767" width="0" style="1" hidden="1" customWidth="1"/>
    <col min="768" max="769" width="1" style="1" customWidth="1"/>
    <col min="770" max="770" width="17.85546875" style="1" customWidth="1"/>
    <col min="771" max="774" width="1" style="1" customWidth="1"/>
    <col min="775" max="775" width="17.85546875" style="1" customWidth="1"/>
    <col min="776" max="777" width="1" style="1" customWidth="1"/>
    <col min="778" max="822" width="0" style="1" hidden="1" customWidth="1"/>
    <col min="823" max="824" width="1" style="1" customWidth="1"/>
    <col min="825" max="825" width="17.85546875" style="1" customWidth="1"/>
    <col min="826" max="827" width="1" style="1" customWidth="1"/>
    <col min="828" max="837" width="0" style="1" hidden="1" customWidth="1"/>
    <col min="838" max="839" width="1" style="1" customWidth="1"/>
    <col min="840" max="840" width="14.42578125" style="1" customWidth="1"/>
    <col min="841" max="842" width="1" style="1" customWidth="1"/>
    <col min="843" max="843" width="2" style="1" customWidth="1"/>
    <col min="844" max="844" width="3.85546875" style="1" customWidth="1"/>
    <col min="845" max="845" width="15.7109375" style="1" customWidth="1"/>
    <col min="846" max="846" width="13.42578125" style="1" bestFit="1" customWidth="1"/>
    <col min="847" max="847" width="13.85546875" style="1" customWidth="1"/>
    <col min="848" max="848" width="13.42578125" style="1" bestFit="1" customWidth="1"/>
    <col min="849" max="954" width="10" style="1"/>
    <col min="955" max="956" width="0" style="1" hidden="1" customWidth="1"/>
    <col min="957" max="957" width="1" style="1" customWidth="1"/>
    <col min="958" max="958" width="56" style="1" customWidth="1"/>
    <col min="959" max="960" width="1" style="1" customWidth="1"/>
    <col min="961" max="961" width="14.42578125" style="1" customWidth="1"/>
    <col min="962" max="963" width="1" style="1" customWidth="1"/>
    <col min="964" max="1008" width="0" style="1" hidden="1" customWidth="1"/>
    <col min="1009" max="1010" width="1" style="1" customWidth="1"/>
    <col min="1011" max="1011" width="17.85546875" style="1" customWidth="1"/>
    <col min="1012" max="1013" width="1" style="1" customWidth="1"/>
    <col min="1014" max="1023" width="0" style="1" hidden="1" customWidth="1"/>
    <col min="1024" max="1025" width="1" style="1" customWidth="1"/>
    <col min="1026" max="1026" width="17.85546875" style="1" customWidth="1"/>
    <col min="1027" max="1030" width="1" style="1" customWidth="1"/>
    <col min="1031" max="1031" width="17.85546875" style="1" customWidth="1"/>
    <col min="1032" max="1033" width="1" style="1" customWidth="1"/>
    <col min="1034" max="1078" width="0" style="1" hidden="1" customWidth="1"/>
    <col min="1079" max="1080" width="1" style="1" customWidth="1"/>
    <col min="1081" max="1081" width="17.85546875" style="1" customWidth="1"/>
    <col min="1082" max="1083" width="1" style="1" customWidth="1"/>
    <col min="1084" max="1093" width="0" style="1" hidden="1" customWidth="1"/>
    <col min="1094" max="1095" width="1" style="1" customWidth="1"/>
    <col min="1096" max="1096" width="14.42578125" style="1" customWidth="1"/>
    <col min="1097" max="1098" width="1" style="1" customWidth="1"/>
    <col min="1099" max="1099" width="2" style="1" customWidth="1"/>
    <col min="1100" max="1100" width="3.85546875" style="1" customWidth="1"/>
    <col min="1101" max="1101" width="15.7109375" style="1" customWidth="1"/>
    <col min="1102" max="1102" width="13.42578125" style="1" bestFit="1" customWidth="1"/>
    <col min="1103" max="1103" width="13.85546875" style="1" customWidth="1"/>
    <col min="1104" max="1104" width="13.42578125" style="1" bestFit="1" customWidth="1"/>
    <col min="1105" max="1210" width="10" style="1"/>
    <col min="1211" max="1212" width="0" style="1" hidden="1" customWidth="1"/>
    <col min="1213" max="1213" width="1" style="1" customWidth="1"/>
    <col min="1214" max="1214" width="56" style="1" customWidth="1"/>
    <col min="1215" max="1216" width="1" style="1" customWidth="1"/>
    <col min="1217" max="1217" width="14.42578125" style="1" customWidth="1"/>
    <col min="1218" max="1219" width="1" style="1" customWidth="1"/>
    <col min="1220" max="1264" width="0" style="1" hidden="1" customWidth="1"/>
    <col min="1265" max="1266" width="1" style="1" customWidth="1"/>
    <col min="1267" max="1267" width="17.85546875" style="1" customWidth="1"/>
    <col min="1268" max="1269" width="1" style="1" customWidth="1"/>
    <col min="1270" max="1279" width="0" style="1" hidden="1" customWidth="1"/>
    <col min="1280" max="1281" width="1" style="1" customWidth="1"/>
    <col min="1282" max="1282" width="17.85546875" style="1" customWidth="1"/>
    <col min="1283" max="1286" width="1" style="1" customWidth="1"/>
    <col min="1287" max="1287" width="17.85546875" style="1" customWidth="1"/>
    <col min="1288" max="1289" width="1" style="1" customWidth="1"/>
    <col min="1290" max="1334" width="0" style="1" hidden="1" customWidth="1"/>
    <col min="1335" max="1336" width="1" style="1" customWidth="1"/>
    <col min="1337" max="1337" width="17.85546875" style="1" customWidth="1"/>
    <col min="1338" max="1339" width="1" style="1" customWidth="1"/>
    <col min="1340" max="1349" width="0" style="1" hidden="1" customWidth="1"/>
    <col min="1350" max="1351" width="1" style="1" customWidth="1"/>
    <col min="1352" max="1352" width="14.42578125" style="1" customWidth="1"/>
    <col min="1353" max="1354" width="1" style="1" customWidth="1"/>
    <col min="1355" max="1355" width="2" style="1" customWidth="1"/>
    <col min="1356" max="1356" width="3.85546875" style="1" customWidth="1"/>
    <col min="1357" max="1357" width="15.7109375" style="1" customWidth="1"/>
    <col min="1358" max="1358" width="13.42578125" style="1" bestFit="1" customWidth="1"/>
    <col min="1359" max="1359" width="13.85546875" style="1" customWidth="1"/>
    <col min="1360" max="1360" width="13.42578125" style="1" bestFit="1" customWidth="1"/>
    <col min="1361" max="1466" width="10" style="1"/>
    <col min="1467" max="1468" width="0" style="1" hidden="1" customWidth="1"/>
    <col min="1469" max="1469" width="1" style="1" customWidth="1"/>
    <col min="1470" max="1470" width="56" style="1" customWidth="1"/>
    <col min="1471" max="1472" width="1" style="1" customWidth="1"/>
    <col min="1473" max="1473" width="14.42578125" style="1" customWidth="1"/>
    <col min="1474" max="1475" width="1" style="1" customWidth="1"/>
    <col min="1476" max="1520" width="0" style="1" hidden="1" customWidth="1"/>
    <col min="1521" max="1522" width="1" style="1" customWidth="1"/>
    <col min="1523" max="1523" width="17.85546875" style="1" customWidth="1"/>
    <col min="1524" max="1525" width="1" style="1" customWidth="1"/>
    <col min="1526" max="1535" width="0" style="1" hidden="1" customWidth="1"/>
    <col min="1536" max="1537" width="1" style="1" customWidth="1"/>
    <col min="1538" max="1538" width="17.85546875" style="1" customWidth="1"/>
    <col min="1539" max="1542" width="1" style="1" customWidth="1"/>
    <col min="1543" max="1543" width="17.85546875" style="1" customWidth="1"/>
    <col min="1544" max="1545" width="1" style="1" customWidth="1"/>
    <col min="1546" max="1590" width="0" style="1" hidden="1" customWidth="1"/>
    <col min="1591" max="1592" width="1" style="1" customWidth="1"/>
    <col min="1593" max="1593" width="17.85546875" style="1" customWidth="1"/>
    <col min="1594" max="1595" width="1" style="1" customWidth="1"/>
    <col min="1596" max="1605" width="0" style="1" hidden="1" customWidth="1"/>
    <col min="1606" max="1607" width="1" style="1" customWidth="1"/>
    <col min="1608" max="1608" width="14.42578125" style="1" customWidth="1"/>
    <col min="1609" max="1610" width="1" style="1" customWidth="1"/>
    <col min="1611" max="1611" width="2" style="1" customWidth="1"/>
    <col min="1612" max="1612" width="3.85546875" style="1" customWidth="1"/>
    <col min="1613" max="1613" width="15.7109375" style="1" customWidth="1"/>
    <col min="1614" max="1614" width="13.42578125" style="1" bestFit="1" customWidth="1"/>
    <col min="1615" max="1615" width="13.85546875" style="1" customWidth="1"/>
    <col min="1616" max="1616" width="13.42578125" style="1" bestFit="1" customWidth="1"/>
    <col min="1617" max="1722" width="10" style="1"/>
    <col min="1723" max="1724" width="0" style="1" hidden="1" customWidth="1"/>
    <col min="1725" max="1725" width="1" style="1" customWidth="1"/>
    <col min="1726" max="1726" width="56" style="1" customWidth="1"/>
    <col min="1727" max="1728" width="1" style="1" customWidth="1"/>
    <col min="1729" max="1729" width="14.42578125" style="1" customWidth="1"/>
    <col min="1730" max="1731" width="1" style="1" customWidth="1"/>
    <col min="1732" max="1776" width="0" style="1" hidden="1" customWidth="1"/>
    <col min="1777" max="1778" width="1" style="1" customWidth="1"/>
    <col min="1779" max="1779" width="17.85546875" style="1" customWidth="1"/>
    <col min="1780" max="1781" width="1" style="1" customWidth="1"/>
    <col min="1782" max="1791" width="0" style="1" hidden="1" customWidth="1"/>
    <col min="1792" max="1793" width="1" style="1" customWidth="1"/>
    <col min="1794" max="1794" width="17.85546875" style="1" customWidth="1"/>
    <col min="1795" max="1798" width="1" style="1" customWidth="1"/>
    <col min="1799" max="1799" width="17.85546875" style="1" customWidth="1"/>
    <col min="1800" max="1801" width="1" style="1" customWidth="1"/>
    <col min="1802" max="1846" width="0" style="1" hidden="1" customWidth="1"/>
    <col min="1847" max="1848" width="1" style="1" customWidth="1"/>
    <col min="1849" max="1849" width="17.85546875" style="1" customWidth="1"/>
    <col min="1850" max="1851" width="1" style="1" customWidth="1"/>
    <col min="1852" max="1861" width="0" style="1" hidden="1" customWidth="1"/>
    <col min="1862" max="1863" width="1" style="1" customWidth="1"/>
    <col min="1864" max="1864" width="14.42578125" style="1" customWidth="1"/>
    <col min="1865" max="1866" width="1" style="1" customWidth="1"/>
    <col min="1867" max="1867" width="2" style="1" customWidth="1"/>
    <col min="1868" max="1868" width="3.85546875" style="1" customWidth="1"/>
    <col min="1869" max="1869" width="15.7109375" style="1" customWidth="1"/>
    <col min="1870" max="1870" width="13.42578125" style="1" bestFit="1" customWidth="1"/>
    <col min="1871" max="1871" width="13.85546875" style="1" customWidth="1"/>
    <col min="1872" max="1872" width="13.42578125" style="1" bestFit="1" customWidth="1"/>
    <col min="1873" max="1978" width="10" style="1"/>
    <col min="1979" max="1980" width="0" style="1" hidden="1" customWidth="1"/>
    <col min="1981" max="1981" width="1" style="1" customWidth="1"/>
    <col min="1982" max="1982" width="56" style="1" customWidth="1"/>
    <col min="1983" max="1984" width="1" style="1" customWidth="1"/>
    <col min="1985" max="1985" width="14.42578125" style="1" customWidth="1"/>
    <col min="1986" max="1987" width="1" style="1" customWidth="1"/>
    <col min="1988" max="2032" width="0" style="1" hidden="1" customWidth="1"/>
    <col min="2033" max="2034" width="1" style="1" customWidth="1"/>
    <col min="2035" max="2035" width="17.85546875" style="1" customWidth="1"/>
    <col min="2036" max="2037" width="1" style="1" customWidth="1"/>
    <col min="2038" max="2047" width="0" style="1" hidden="1" customWidth="1"/>
    <col min="2048" max="2049" width="1" style="1" customWidth="1"/>
    <col min="2050" max="2050" width="17.85546875" style="1" customWidth="1"/>
    <col min="2051" max="2054" width="1" style="1" customWidth="1"/>
    <col min="2055" max="2055" width="17.85546875" style="1" customWidth="1"/>
    <col min="2056" max="2057" width="1" style="1" customWidth="1"/>
    <col min="2058" max="2102" width="0" style="1" hidden="1" customWidth="1"/>
    <col min="2103" max="2104" width="1" style="1" customWidth="1"/>
    <col min="2105" max="2105" width="17.85546875" style="1" customWidth="1"/>
    <col min="2106" max="2107" width="1" style="1" customWidth="1"/>
    <col min="2108" max="2117" width="0" style="1" hidden="1" customWidth="1"/>
    <col min="2118" max="2119" width="1" style="1" customWidth="1"/>
    <col min="2120" max="2120" width="14.42578125" style="1" customWidth="1"/>
    <col min="2121" max="2122" width="1" style="1" customWidth="1"/>
    <col min="2123" max="2123" width="2" style="1" customWidth="1"/>
    <col min="2124" max="2124" width="3.85546875" style="1" customWidth="1"/>
    <col min="2125" max="2125" width="15.7109375" style="1" customWidth="1"/>
    <col min="2126" max="2126" width="13.42578125" style="1" bestFit="1" customWidth="1"/>
    <col min="2127" max="2127" width="13.85546875" style="1" customWidth="1"/>
    <col min="2128" max="2128" width="13.42578125" style="1" bestFit="1" customWidth="1"/>
    <col min="2129" max="2234" width="10" style="1"/>
    <col min="2235" max="2236" width="0" style="1" hidden="1" customWidth="1"/>
    <col min="2237" max="2237" width="1" style="1" customWidth="1"/>
    <col min="2238" max="2238" width="56" style="1" customWidth="1"/>
    <col min="2239" max="2240" width="1" style="1" customWidth="1"/>
    <col min="2241" max="2241" width="14.42578125" style="1" customWidth="1"/>
    <col min="2242" max="2243" width="1" style="1" customWidth="1"/>
    <col min="2244" max="2288" width="0" style="1" hidden="1" customWidth="1"/>
    <col min="2289" max="2290" width="1" style="1" customWidth="1"/>
    <col min="2291" max="2291" width="17.85546875" style="1" customWidth="1"/>
    <col min="2292" max="2293" width="1" style="1" customWidth="1"/>
    <col min="2294" max="2303" width="0" style="1" hidden="1" customWidth="1"/>
    <col min="2304" max="2305" width="1" style="1" customWidth="1"/>
    <col min="2306" max="2306" width="17.85546875" style="1" customWidth="1"/>
    <col min="2307" max="2310" width="1" style="1" customWidth="1"/>
    <col min="2311" max="2311" width="17.85546875" style="1" customWidth="1"/>
    <col min="2312" max="2313" width="1" style="1" customWidth="1"/>
    <col min="2314" max="2358" width="0" style="1" hidden="1" customWidth="1"/>
    <col min="2359" max="2360" width="1" style="1" customWidth="1"/>
    <col min="2361" max="2361" width="17.85546875" style="1" customWidth="1"/>
    <col min="2362" max="2363" width="1" style="1" customWidth="1"/>
    <col min="2364" max="2373" width="0" style="1" hidden="1" customWidth="1"/>
    <col min="2374" max="2375" width="1" style="1" customWidth="1"/>
    <col min="2376" max="2376" width="14.42578125" style="1" customWidth="1"/>
    <col min="2377" max="2378" width="1" style="1" customWidth="1"/>
    <col min="2379" max="2379" width="2" style="1" customWidth="1"/>
    <col min="2380" max="2380" width="3.85546875" style="1" customWidth="1"/>
    <col min="2381" max="2381" width="15.7109375" style="1" customWidth="1"/>
    <col min="2382" max="2382" width="13.42578125" style="1" bestFit="1" customWidth="1"/>
    <col min="2383" max="2383" width="13.85546875" style="1" customWidth="1"/>
    <col min="2384" max="2384" width="13.42578125" style="1" bestFit="1" customWidth="1"/>
    <col min="2385" max="2490" width="10" style="1"/>
    <col min="2491" max="2492" width="0" style="1" hidden="1" customWidth="1"/>
    <col min="2493" max="2493" width="1" style="1" customWidth="1"/>
    <col min="2494" max="2494" width="56" style="1" customWidth="1"/>
    <col min="2495" max="2496" width="1" style="1" customWidth="1"/>
    <col min="2497" max="2497" width="14.42578125" style="1" customWidth="1"/>
    <col min="2498" max="2499" width="1" style="1" customWidth="1"/>
    <col min="2500" max="2544" width="0" style="1" hidden="1" customWidth="1"/>
    <col min="2545" max="2546" width="1" style="1" customWidth="1"/>
    <col min="2547" max="2547" width="17.85546875" style="1" customWidth="1"/>
    <col min="2548" max="2549" width="1" style="1" customWidth="1"/>
    <col min="2550" max="2559" width="0" style="1" hidden="1" customWidth="1"/>
    <col min="2560" max="2561" width="1" style="1" customWidth="1"/>
    <col min="2562" max="2562" width="17.85546875" style="1" customWidth="1"/>
    <col min="2563" max="2566" width="1" style="1" customWidth="1"/>
    <col min="2567" max="2567" width="17.85546875" style="1" customWidth="1"/>
    <col min="2568" max="2569" width="1" style="1" customWidth="1"/>
    <col min="2570" max="2614" width="0" style="1" hidden="1" customWidth="1"/>
    <col min="2615" max="2616" width="1" style="1" customWidth="1"/>
    <col min="2617" max="2617" width="17.85546875" style="1" customWidth="1"/>
    <col min="2618" max="2619" width="1" style="1" customWidth="1"/>
    <col min="2620" max="2629" width="0" style="1" hidden="1" customWidth="1"/>
    <col min="2630" max="2631" width="1" style="1" customWidth="1"/>
    <col min="2632" max="2632" width="14.42578125" style="1" customWidth="1"/>
    <col min="2633" max="2634" width="1" style="1" customWidth="1"/>
    <col min="2635" max="2635" width="2" style="1" customWidth="1"/>
    <col min="2636" max="2636" width="3.85546875" style="1" customWidth="1"/>
    <col min="2637" max="2637" width="15.7109375" style="1" customWidth="1"/>
    <col min="2638" max="2638" width="13.42578125" style="1" bestFit="1" customWidth="1"/>
    <col min="2639" max="2639" width="13.85546875" style="1" customWidth="1"/>
    <col min="2640" max="2640" width="13.42578125" style="1" bestFit="1" customWidth="1"/>
    <col min="2641" max="2746" width="10" style="1"/>
    <col min="2747" max="2748" width="0" style="1" hidden="1" customWidth="1"/>
    <col min="2749" max="2749" width="1" style="1" customWidth="1"/>
    <col min="2750" max="2750" width="56" style="1" customWidth="1"/>
    <col min="2751" max="2752" width="1" style="1" customWidth="1"/>
    <col min="2753" max="2753" width="14.42578125" style="1" customWidth="1"/>
    <col min="2754" max="2755" width="1" style="1" customWidth="1"/>
    <col min="2756" max="2800" width="0" style="1" hidden="1" customWidth="1"/>
    <col min="2801" max="2802" width="1" style="1" customWidth="1"/>
    <col min="2803" max="2803" width="17.85546875" style="1" customWidth="1"/>
    <col min="2804" max="2805" width="1" style="1" customWidth="1"/>
    <col min="2806" max="2815" width="0" style="1" hidden="1" customWidth="1"/>
    <col min="2816" max="2817" width="1" style="1" customWidth="1"/>
    <col min="2818" max="2818" width="17.85546875" style="1" customWidth="1"/>
    <col min="2819" max="2822" width="1" style="1" customWidth="1"/>
    <col min="2823" max="2823" width="17.85546875" style="1" customWidth="1"/>
    <col min="2824" max="2825" width="1" style="1" customWidth="1"/>
    <col min="2826" max="2870" width="0" style="1" hidden="1" customWidth="1"/>
    <col min="2871" max="2872" width="1" style="1" customWidth="1"/>
    <col min="2873" max="2873" width="17.85546875" style="1" customWidth="1"/>
    <col min="2874" max="2875" width="1" style="1" customWidth="1"/>
    <col min="2876" max="2885" width="0" style="1" hidden="1" customWidth="1"/>
    <col min="2886" max="2887" width="1" style="1" customWidth="1"/>
    <col min="2888" max="2888" width="14.42578125" style="1" customWidth="1"/>
    <col min="2889" max="2890" width="1" style="1" customWidth="1"/>
    <col min="2891" max="2891" width="2" style="1" customWidth="1"/>
    <col min="2892" max="2892" width="3.85546875" style="1" customWidth="1"/>
    <col min="2893" max="2893" width="15.7109375" style="1" customWidth="1"/>
    <col min="2894" max="2894" width="13.42578125" style="1" bestFit="1" customWidth="1"/>
    <col min="2895" max="2895" width="13.85546875" style="1" customWidth="1"/>
    <col min="2896" max="2896" width="13.42578125" style="1" bestFit="1" customWidth="1"/>
    <col min="2897" max="3002" width="10" style="1"/>
    <col min="3003" max="3004" width="0" style="1" hidden="1" customWidth="1"/>
    <col min="3005" max="3005" width="1" style="1" customWidth="1"/>
    <col min="3006" max="3006" width="56" style="1" customWidth="1"/>
    <col min="3007" max="3008" width="1" style="1" customWidth="1"/>
    <col min="3009" max="3009" width="14.42578125" style="1" customWidth="1"/>
    <col min="3010" max="3011" width="1" style="1" customWidth="1"/>
    <col min="3012" max="3056" width="0" style="1" hidden="1" customWidth="1"/>
    <col min="3057" max="3058" width="1" style="1" customWidth="1"/>
    <col min="3059" max="3059" width="17.85546875" style="1" customWidth="1"/>
    <col min="3060" max="3061" width="1" style="1" customWidth="1"/>
    <col min="3062" max="3071" width="0" style="1" hidden="1" customWidth="1"/>
    <col min="3072" max="3073" width="1" style="1" customWidth="1"/>
    <col min="3074" max="3074" width="17.85546875" style="1" customWidth="1"/>
    <col min="3075" max="3078" width="1" style="1" customWidth="1"/>
    <col min="3079" max="3079" width="17.85546875" style="1" customWidth="1"/>
    <col min="3080" max="3081" width="1" style="1" customWidth="1"/>
    <col min="3082" max="3126" width="0" style="1" hidden="1" customWidth="1"/>
    <col min="3127" max="3128" width="1" style="1" customWidth="1"/>
    <col min="3129" max="3129" width="17.85546875" style="1" customWidth="1"/>
    <col min="3130" max="3131" width="1" style="1" customWidth="1"/>
    <col min="3132" max="3141" width="0" style="1" hidden="1" customWidth="1"/>
    <col min="3142" max="3143" width="1" style="1" customWidth="1"/>
    <col min="3144" max="3144" width="14.42578125" style="1" customWidth="1"/>
    <col min="3145" max="3146" width="1" style="1" customWidth="1"/>
    <col min="3147" max="3147" width="2" style="1" customWidth="1"/>
    <col min="3148" max="3148" width="3.85546875" style="1" customWidth="1"/>
    <col min="3149" max="3149" width="15.7109375" style="1" customWidth="1"/>
    <col min="3150" max="3150" width="13.42578125" style="1" bestFit="1" customWidth="1"/>
    <col min="3151" max="3151" width="13.85546875" style="1" customWidth="1"/>
    <col min="3152" max="3152" width="13.42578125" style="1" bestFit="1" customWidth="1"/>
    <col min="3153" max="3258" width="10" style="1"/>
    <col min="3259" max="3260" width="0" style="1" hidden="1" customWidth="1"/>
    <col min="3261" max="3261" width="1" style="1" customWidth="1"/>
    <col min="3262" max="3262" width="56" style="1" customWidth="1"/>
    <col min="3263" max="3264" width="1" style="1" customWidth="1"/>
    <col min="3265" max="3265" width="14.42578125" style="1" customWidth="1"/>
    <col min="3266" max="3267" width="1" style="1" customWidth="1"/>
    <col min="3268" max="3312" width="0" style="1" hidden="1" customWidth="1"/>
    <col min="3313" max="3314" width="1" style="1" customWidth="1"/>
    <col min="3315" max="3315" width="17.85546875" style="1" customWidth="1"/>
    <col min="3316" max="3317" width="1" style="1" customWidth="1"/>
    <col min="3318" max="3327" width="0" style="1" hidden="1" customWidth="1"/>
    <col min="3328" max="3329" width="1" style="1" customWidth="1"/>
    <col min="3330" max="3330" width="17.85546875" style="1" customWidth="1"/>
    <col min="3331" max="3334" width="1" style="1" customWidth="1"/>
    <col min="3335" max="3335" width="17.85546875" style="1" customWidth="1"/>
    <col min="3336" max="3337" width="1" style="1" customWidth="1"/>
    <col min="3338" max="3382" width="0" style="1" hidden="1" customWidth="1"/>
    <col min="3383" max="3384" width="1" style="1" customWidth="1"/>
    <col min="3385" max="3385" width="17.85546875" style="1" customWidth="1"/>
    <col min="3386" max="3387" width="1" style="1" customWidth="1"/>
    <col min="3388" max="3397" width="0" style="1" hidden="1" customWidth="1"/>
    <col min="3398" max="3399" width="1" style="1" customWidth="1"/>
    <col min="3400" max="3400" width="14.42578125" style="1" customWidth="1"/>
    <col min="3401" max="3402" width="1" style="1" customWidth="1"/>
    <col min="3403" max="3403" width="2" style="1" customWidth="1"/>
    <col min="3404" max="3404" width="3.85546875" style="1" customWidth="1"/>
    <col min="3405" max="3405" width="15.7109375" style="1" customWidth="1"/>
    <col min="3406" max="3406" width="13.42578125" style="1" bestFit="1" customWidth="1"/>
    <col min="3407" max="3407" width="13.85546875" style="1" customWidth="1"/>
    <col min="3408" max="3408" width="13.42578125" style="1" bestFit="1" customWidth="1"/>
    <col min="3409" max="3514" width="10" style="1"/>
    <col min="3515" max="3516" width="0" style="1" hidden="1" customWidth="1"/>
    <col min="3517" max="3517" width="1" style="1" customWidth="1"/>
    <col min="3518" max="3518" width="56" style="1" customWidth="1"/>
    <col min="3519" max="3520" width="1" style="1" customWidth="1"/>
    <col min="3521" max="3521" width="14.42578125" style="1" customWidth="1"/>
    <col min="3522" max="3523" width="1" style="1" customWidth="1"/>
    <col min="3524" max="3568" width="0" style="1" hidden="1" customWidth="1"/>
    <col min="3569" max="3570" width="1" style="1" customWidth="1"/>
    <col min="3571" max="3571" width="17.85546875" style="1" customWidth="1"/>
    <col min="3572" max="3573" width="1" style="1" customWidth="1"/>
    <col min="3574" max="3583" width="0" style="1" hidden="1" customWidth="1"/>
    <col min="3584" max="3585" width="1" style="1" customWidth="1"/>
    <col min="3586" max="3586" width="17.85546875" style="1" customWidth="1"/>
    <col min="3587" max="3590" width="1" style="1" customWidth="1"/>
    <col min="3591" max="3591" width="17.85546875" style="1" customWidth="1"/>
    <col min="3592" max="3593" width="1" style="1" customWidth="1"/>
    <col min="3594" max="3638" width="0" style="1" hidden="1" customWidth="1"/>
    <col min="3639" max="3640" width="1" style="1" customWidth="1"/>
    <col min="3641" max="3641" width="17.85546875" style="1" customWidth="1"/>
    <col min="3642" max="3643" width="1" style="1" customWidth="1"/>
    <col min="3644" max="3653" width="0" style="1" hidden="1" customWidth="1"/>
    <col min="3654" max="3655" width="1" style="1" customWidth="1"/>
    <col min="3656" max="3656" width="14.42578125" style="1" customWidth="1"/>
    <col min="3657" max="3658" width="1" style="1" customWidth="1"/>
    <col min="3659" max="3659" width="2" style="1" customWidth="1"/>
    <col min="3660" max="3660" width="3.85546875" style="1" customWidth="1"/>
    <col min="3661" max="3661" width="15.7109375" style="1" customWidth="1"/>
    <col min="3662" max="3662" width="13.42578125" style="1" bestFit="1" customWidth="1"/>
    <col min="3663" max="3663" width="13.85546875" style="1" customWidth="1"/>
    <col min="3664" max="3664" width="13.42578125" style="1" bestFit="1" customWidth="1"/>
    <col min="3665" max="3770" width="10" style="1"/>
    <col min="3771" max="3772" width="0" style="1" hidden="1" customWidth="1"/>
    <col min="3773" max="3773" width="1" style="1" customWidth="1"/>
    <col min="3774" max="3774" width="56" style="1" customWidth="1"/>
    <col min="3775" max="3776" width="1" style="1" customWidth="1"/>
    <col min="3777" max="3777" width="14.42578125" style="1" customWidth="1"/>
    <col min="3778" max="3779" width="1" style="1" customWidth="1"/>
    <col min="3780" max="3824" width="0" style="1" hidden="1" customWidth="1"/>
    <col min="3825" max="3826" width="1" style="1" customWidth="1"/>
    <col min="3827" max="3827" width="17.85546875" style="1" customWidth="1"/>
    <col min="3828" max="3829" width="1" style="1" customWidth="1"/>
    <col min="3830" max="3839" width="0" style="1" hidden="1" customWidth="1"/>
    <col min="3840" max="3841" width="1" style="1" customWidth="1"/>
    <col min="3842" max="3842" width="17.85546875" style="1" customWidth="1"/>
    <col min="3843" max="3846" width="1" style="1" customWidth="1"/>
    <col min="3847" max="3847" width="17.85546875" style="1" customWidth="1"/>
    <col min="3848" max="3849" width="1" style="1" customWidth="1"/>
    <col min="3850" max="3894" width="0" style="1" hidden="1" customWidth="1"/>
    <col min="3895" max="3896" width="1" style="1" customWidth="1"/>
    <col min="3897" max="3897" width="17.85546875" style="1" customWidth="1"/>
    <col min="3898" max="3899" width="1" style="1" customWidth="1"/>
    <col min="3900" max="3909" width="0" style="1" hidden="1" customWidth="1"/>
    <col min="3910" max="3911" width="1" style="1" customWidth="1"/>
    <col min="3912" max="3912" width="14.42578125" style="1" customWidth="1"/>
    <col min="3913" max="3914" width="1" style="1" customWidth="1"/>
    <col min="3915" max="3915" width="2" style="1" customWidth="1"/>
    <col min="3916" max="3916" width="3.85546875" style="1" customWidth="1"/>
    <col min="3917" max="3917" width="15.7109375" style="1" customWidth="1"/>
    <col min="3918" max="3918" width="13.42578125" style="1" bestFit="1" customWidth="1"/>
    <col min="3919" max="3919" width="13.85546875" style="1" customWidth="1"/>
    <col min="3920" max="3920" width="13.42578125" style="1" bestFit="1" customWidth="1"/>
    <col min="3921" max="4026" width="10" style="1"/>
    <col min="4027" max="4028" width="0" style="1" hidden="1" customWidth="1"/>
    <col min="4029" max="4029" width="1" style="1" customWidth="1"/>
    <col min="4030" max="4030" width="56" style="1" customWidth="1"/>
    <col min="4031" max="4032" width="1" style="1" customWidth="1"/>
    <col min="4033" max="4033" width="14.42578125" style="1" customWidth="1"/>
    <col min="4034" max="4035" width="1" style="1" customWidth="1"/>
    <col min="4036" max="4080" width="0" style="1" hidden="1" customWidth="1"/>
    <col min="4081" max="4082" width="1" style="1" customWidth="1"/>
    <col min="4083" max="4083" width="17.85546875" style="1" customWidth="1"/>
    <col min="4084" max="4085" width="1" style="1" customWidth="1"/>
    <col min="4086" max="4095" width="0" style="1" hidden="1" customWidth="1"/>
    <col min="4096" max="4097" width="1" style="1" customWidth="1"/>
    <col min="4098" max="4098" width="17.85546875" style="1" customWidth="1"/>
    <col min="4099" max="4102" width="1" style="1" customWidth="1"/>
    <col min="4103" max="4103" width="17.85546875" style="1" customWidth="1"/>
    <col min="4104" max="4105" width="1" style="1" customWidth="1"/>
    <col min="4106" max="4150" width="0" style="1" hidden="1" customWidth="1"/>
    <col min="4151" max="4152" width="1" style="1" customWidth="1"/>
    <col min="4153" max="4153" width="17.85546875" style="1" customWidth="1"/>
    <col min="4154" max="4155" width="1" style="1" customWidth="1"/>
    <col min="4156" max="4165" width="0" style="1" hidden="1" customWidth="1"/>
    <col min="4166" max="4167" width="1" style="1" customWidth="1"/>
    <col min="4168" max="4168" width="14.42578125" style="1" customWidth="1"/>
    <col min="4169" max="4170" width="1" style="1" customWidth="1"/>
    <col min="4171" max="4171" width="2" style="1" customWidth="1"/>
    <col min="4172" max="4172" width="3.85546875" style="1" customWidth="1"/>
    <col min="4173" max="4173" width="15.7109375" style="1" customWidth="1"/>
    <col min="4174" max="4174" width="13.42578125" style="1" bestFit="1" customWidth="1"/>
    <col min="4175" max="4175" width="13.85546875" style="1" customWidth="1"/>
    <col min="4176" max="4176" width="13.42578125" style="1" bestFit="1" customWidth="1"/>
    <col min="4177" max="4282" width="10" style="1"/>
    <col min="4283" max="4284" width="0" style="1" hidden="1" customWidth="1"/>
    <col min="4285" max="4285" width="1" style="1" customWidth="1"/>
    <col min="4286" max="4286" width="56" style="1" customWidth="1"/>
    <col min="4287" max="4288" width="1" style="1" customWidth="1"/>
    <col min="4289" max="4289" width="14.42578125" style="1" customWidth="1"/>
    <col min="4290" max="4291" width="1" style="1" customWidth="1"/>
    <col min="4292" max="4336" width="0" style="1" hidden="1" customWidth="1"/>
    <col min="4337" max="4338" width="1" style="1" customWidth="1"/>
    <col min="4339" max="4339" width="17.85546875" style="1" customWidth="1"/>
    <col min="4340" max="4341" width="1" style="1" customWidth="1"/>
    <col min="4342" max="4351" width="0" style="1" hidden="1" customWidth="1"/>
    <col min="4352" max="4353" width="1" style="1" customWidth="1"/>
    <col min="4354" max="4354" width="17.85546875" style="1" customWidth="1"/>
    <col min="4355" max="4358" width="1" style="1" customWidth="1"/>
    <col min="4359" max="4359" width="17.85546875" style="1" customWidth="1"/>
    <col min="4360" max="4361" width="1" style="1" customWidth="1"/>
    <col min="4362" max="4406" width="0" style="1" hidden="1" customWidth="1"/>
    <col min="4407" max="4408" width="1" style="1" customWidth="1"/>
    <col min="4409" max="4409" width="17.85546875" style="1" customWidth="1"/>
    <col min="4410" max="4411" width="1" style="1" customWidth="1"/>
    <col min="4412" max="4421" width="0" style="1" hidden="1" customWidth="1"/>
    <col min="4422" max="4423" width="1" style="1" customWidth="1"/>
    <col min="4424" max="4424" width="14.42578125" style="1" customWidth="1"/>
    <col min="4425" max="4426" width="1" style="1" customWidth="1"/>
    <col min="4427" max="4427" width="2" style="1" customWidth="1"/>
    <col min="4428" max="4428" width="3.85546875" style="1" customWidth="1"/>
    <col min="4429" max="4429" width="15.7109375" style="1" customWidth="1"/>
    <col min="4430" max="4430" width="13.42578125" style="1" bestFit="1" customWidth="1"/>
    <col min="4431" max="4431" width="13.85546875" style="1" customWidth="1"/>
    <col min="4432" max="4432" width="13.42578125" style="1" bestFit="1" customWidth="1"/>
    <col min="4433" max="4538" width="10" style="1"/>
    <col min="4539" max="4540" width="0" style="1" hidden="1" customWidth="1"/>
    <col min="4541" max="4541" width="1" style="1" customWidth="1"/>
    <col min="4542" max="4542" width="56" style="1" customWidth="1"/>
    <col min="4543" max="4544" width="1" style="1" customWidth="1"/>
    <col min="4545" max="4545" width="14.42578125" style="1" customWidth="1"/>
    <col min="4546" max="4547" width="1" style="1" customWidth="1"/>
    <col min="4548" max="4592" width="0" style="1" hidden="1" customWidth="1"/>
    <col min="4593" max="4594" width="1" style="1" customWidth="1"/>
    <col min="4595" max="4595" width="17.85546875" style="1" customWidth="1"/>
    <col min="4596" max="4597" width="1" style="1" customWidth="1"/>
    <col min="4598" max="4607" width="0" style="1" hidden="1" customWidth="1"/>
    <col min="4608" max="4609" width="1" style="1" customWidth="1"/>
    <col min="4610" max="4610" width="17.85546875" style="1" customWidth="1"/>
    <col min="4611" max="4614" width="1" style="1" customWidth="1"/>
    <col min="4615" max="4615" width="17.85546875" style="1" customWidth="1"/>
    <col min="4616" max="4617" width="1" style="1" customWidth="1"/>
    <col min="4618" max="4662" width="0" style="1" hidden="1" customWidth="1"/>
    <col min="4663" max="4664" width="1" style="1" customWidth="1"/>
    <col min="4665" max="4665" width="17.85546875" style="1" customWidth="1"/>
    <col min="4666" max="4667" width="1" style="1" customWidth="1"/>
    <col min="4668" max="4677" width="0" style="1" hidden="1" customWidth="1"/>
    <col min="4678" max="4679" width="1" style="1" customWidth="1"/>
    <col min="4680" max="4680" width="14.42578125" style="1" customWidth="1"/>
    <col min="4681" max="4682" width="1" style="1" customWidth="1"/>
    <col min="4683" max="4683" width="2" style="1" customWidth="1"/>
    <col min="4684" max="4684" width="3.85546875" style="1" customWidth="1"/>
    <col min="4685" max="4685" width="15.7109375" style="1" customWidth="1"/>
    <col min="4686" max="4686" width="13.42578125" style="1" bestFit="1" customWidth="1"/>
    <col min="4687" max="4687" width="13.85546875" style="1" customWidth="1"/>
    <col min="4688" max="4688" width="13.42578125" style="1" bestFit="1" customWidth="1"/>
    <col min="4689" max="4794" width="10" style="1"/>
    <col min="4795" max="4796" width="0" style="1" hidden="1" customWidth="1"/>
    <col min="4797" max="4797" width="1" style="1" customWidth="1"/>
    <col min="4798" max="4798" width="56" style="1" customWidth="1"/>
    <col min="4799" max="4800" width="1" style="1" customWidth="1"/>
    <col min="4801" max="4801" width="14.42578125" style="1" customWidth="1"/>
    <col min="4802" max="4803" width="1" style="1" customWidth="1"/>
    <col min="4804" max="4848" width="0" style="1" hidden="1" customWidth="1"/>
    <col min="4849" max="4850" width="1" style="1" customWidth="1"/>
    <col min="4851" max="4851" width="17.85546875" style="1" customWidth="1"/>
    <col min="4852" max="4853" width="1" style="1" customWidth="1"/>
    <col min="4854" max="4863" width="0" style="1" hidden="1" customWidth="1"/>
    <col min="4864" max="4865" width="1" style="1" customWidth="1"/>
    <col min="4866" max="4866" width="17.85546875" style="1" customWidth="1"/>
    <col min="4867" max="4870" width="1" style="1" customWidth="1"/>
    <col min="4871" max="4871" width="17.85546875" style="1" customWidth="1"/>
    <col min="4872" max="4873" width="1" style="1" customWidth="1"/>
    <col min="4874" max="4918" width="0" style="1" hidden="1" customWidth="1"/>
    <col min="4919" max="4920" width="1" style="1" customWidth="1"/>
    <col min="4921" max="4921" width="17.85546875" style="1" customWidth="1"/>
    <col min="4922" max="4923" width="1" style="1" customWidth="1"/>
    <col min="4924" max="4933" width="0" style="1" hidden="1" customWidth="1"/>
    <col min="4934" max="4935" width="1" style="1" customWidth="1"/>
    <col min="4936" max="4936" width="14.42578125" style="1" customWidth="1"/>
    <col min="4937" max="4938" width="1" style="1" customWidth="1"/>
    <col min="4939" max="4939" width="2" style="1" customWidth="1"/>
    <col min="4940" max="4940" width="3.85546875" style="1" customWidth="1"/>
    <col min="4941" max="4941" width="15.7109375" style="1" customWidth="1"/>
    <col min="4942" max="4942" width="13.42578125" style="1" bestFit="1" customWidth="1"/>
    <col min="4943" max="4943" width="13.85546875" style="1" customWidth="1"/>
    <col min="4944" max="4944" width="13.42578125" style="1" bestFit="1" customWidth="1"/>
    <col min="4945" max="5050" width="10" style="1"/>
    <col min="5051" max="5052" width="0" style="1" hidden="1" customWidth="1"/>
    <col min="5053" max="5053" width="1" style="1" customWidth="1"/>
    <col min="5054" max="5054" width="56" style="1" customWidth="1"/>
    <col min="5055" max="5056" width="1" style="1" customWidth="1"/>
    <col min="5057" max="5057" width="14.42578125" style="1" customWidth="1"/>
    <col min="5058" max="5059" width="1" style="1" customWidth="1"/>
    <col min="5060" max="5104" width="0" style="1" hidden="1" customWidth="1"/>
    <col min="5105" max="5106" width="1" style="1" customWidth="1"/>
    <col min="5107" max="5107" width="17.85546875" style="1" customWidth="1"/>
    <col min="5108" max="5109" width="1" style="1" customWidth="1"/>
    <col min="5110" max="5119" width="0" style="1" hidden="1" customWidth="1"/>
    <col min="5120" max="5121" width="1" style="1" customWidth="1"/>
    <col min="5122" max="5122" width="17.85546875" style="1" customWidth="1"/>
    <col min="5123" max="5126" width="1" style="1" customWidth="1"/>
    <col min="5127" max="5127" width="17.85546875" style="1" customWidth="1"/>
    <col min="5128" max="5129" width="1" style="1" customWidth="1"/>
    <col min="5130" max="5174" width="0" style="1" hidden="1" customWidth="1"/>
    <col min="5175" max="5176" width="1" style="1" customWidth="1"/>
    <col min="5177" max="5177" width="17.85546875" style="1" customWidth="1"/>
    <col min="5178" max="5179" width="1" style="1" customWidth="1"/>
    <col min="5180" max="5189" width="0" style="1" hidden="1" customWidth="1"/>
    <col min="5190" max="5191" width="1" style="1" customWidth="1"/>
    <col min="5192" max="5192" width="14.42578125" style="1" customWidth="1"/>
    <col min="5193" max="5194" width="1" style="1" customWidth="1"/>
    <col min="5195" max="5195" width="2" style="1" customWidth="1"/>
    <col min="5196" max="5196" width="3.85546875" style="1" customWidth="1"/>
    <col min="5197" max="5197" width="15.7109375" style="1" customWidth="1"/>
    <col min="5198" max="5198" width="13.42578125" style="1" bestFit="1" customWidth="1"/>
    <col min="5199" max="5199" width="13.85546875" style="1" customWidth="1"/>
    <col min="5200" max="5200" width="13.42578125" style="1" bestFit="1" customWidth="1"/>
    <col min="5201" max="5306" width="10" style="1"/>
    <col min="5307" max="5308" width="0" style="1" hidden="1" customWidth="1"/>
    <col min="5309" max="5309" width="1" style="1" customWidth="1"/>
    <col min="5310" max="5310" width="56" style="1" customWidth="1"/>
    <col min="5311" max="5312" width="1" style="1" customWidth="1"/>
    <col min="5313" max="5313" width="14.42578125" style="1" customWidth="1"/>
    <col min="5314" max="5315" width="1" style="1" customWidth="1"/>
    <col min="5316" max="5360" width="0" style="1" hidden="1" customWidth="1"/>
    <col min="5361" max="5362" width="1" style="1" customWidth="1"/>
    <col min="5363" max="5363" width="17.85546875" style="1" customWidth="1"/>
    <col min="5364" max="5365" width="1" style="1" customWidth="1"/>
    <col min="5366" max="5375" width="0" style="1" hidden="1" customWidth="1"/>
    <col min="5376" max="5377" width="1" style="1" customWidth="1"/>
    <col min="5378" max="5378" width="17.85546875" style="1" customWidth="1"/>
    <col min="5379" max="5382" width="1" style="1" customWidth="1"/>
    <col min="5383" max="5383" width="17.85546875" style="1" customWidth="1"/>
    <col min="5384" max="5385" width="1" style="1" customWidth="1"/>
    <col min="5386" max="5430" width="0" style="1" hidden="1" customWidth="1"/>
    <col min="5431" max="5432" width="1" style="1" customWidth="1"/>
    <col min="5433" max="5433" width="17.85546875" style="1" customWidth="1"/>
    <col min="5434" max="5435" width="1" style="1" customWidth="1"/>
    <col min="5436" max="5445" width="0" style="1" hidden="1" customWidth="1"/>
    <col min="5446" max="5447" width="1" style="1" customWidth="1"/>
    <col min="5448" max="5448" width="14.42578125" style="1" customWidth="1"/>
    <col min="5449" max="5450" width="1" style="1" customWidth="1"/>
    <col min="5451" max="5451" width="2" style="1" customWidth="1"/>
    <col min="5452" max="5452" width="3.85546875" style="1" customWidth="1"/>
    <col min="5453" max="5453" width="15.7109375" style="1" customWidth="1"/>
    <col min="5454" max="5454" width="13.42578125" style="1" bestFit="1" customWidth="1"/>
    <col min="5455" max="5455" width="13.85546875" style="1" customWidth="1"/>
    <col min="5456" max="5456" width="13.42578125" style="1" bestFit="1" customWidth="1"/>
    <col min="5457" max="5562" width="10" style="1"/>
    <col min="5563" max="5564" width="0" style="1" hidden="1" customWidth="1"/>
    <col min="5565" max="5565" width="1" style="1" customWidth="1"/>
    <col min="5566" max="5566" width="56" style="1" customWidth="1"/>
    <col min="5567" max="5568" width="1" style="1" customWidth="1"/>
    <col min="5569" max="5569" width="14.42578125" style="1" customWidth="1"/>
    <col min="5570" max="5571" width="1" style="1" customWidth="1"/>
    <col min="5572" max="5616" width="0" style="1" hidden="1" customWidth="1"/>
    <col min="5617" max="5618" width="1" style="1" customWidth="1"/>
    <col min="5619" max="5619" width="17.85546875" style="1" customWidth="1"/>
    <col min="5620" max="5621" width="1" style="1" customWidth="1"/>
    <col min="5622" max="5631" width="0" style="1" hidden="1" customWidth="1"/>
    <col min="5632" max="5633" width="1" style="1" customWidth="1"/>
    <col min="5634" max="5634" width="17.85546875" style="1" customWidth="1"/>
    <col min="5635" max="5638" width="1" style="1" customWidth="1"/>
    <col min="5639" max="5639" width="17.85546875" style="1" customWidth="1"/>
    <col min="5640" max="5641" width="1" style="1" customWidth="1"/>
    <col min="5642" max="5686" width="0" style="1" hidden="1" customWidth="1"/>
    <col min="5687" max="5688" width="1" style="1" customWidth="1"/>
    <col min="5689" max="5689" width="17.85546875" style="1" customWidth="1"/>
    <col min="5690" max="5691" width="1" style="1" customWidth="1"/>
    <col min="5692" max="5701" width="0" style="1" hidden="1" customWidth="1"/>
    <col min="5702" max="5703" width="1" style="1" customWidth="1"/>
    <col min="5704" max="5704" width="14.42578125" style="1" customWidth="1"/>
    <col min="5705" max="5706" width="1" style="1" customWidth="1"/>
    <col min="5707" max="5707" width="2" style="1" customWidth="1"/>
    <col min="5708" max="5708" width="3.85546875" style="1" customWidth="1"/>
    <col min="5709" max="5709" width="15.7109375" style="1" customWidth="1"/>
    <col min="5710" max="5710" width="13.42578125" style="1" bestFit="1" customWidth="1"/>
    <col min="5711" max="5711" width="13.85546875" style="1" customWidth="1"/>
    <col min="5712" max="5712" width="13.42578125" style="1" bestFit="1" customWidth="1"/>
    <col min="5713" max="5818" width="10" style="1"/>
    <col min="5819" max="5820" width="0" style="1" hidden="1" customWidth="1"/>
    <col min="5821" max="5821" width="1" style="1" customWidth="1"/>
    <col min="5822" max="5822" width="56" style="1" customWidth="1"/>
    <col min="5823" max="5824" width="1" style="1" customWidth="1"/>
    <col min="5825" max="5825" width="14.42578125" style="1" customWidth="1"/>
    <col min="5826" max="5827" width="1" style="1" customWidth="1"/>
    <col min="5828" max="5872" width="0" style="1" hidden="1" customWidth="1"/>
    <col min="5873" max="5874" width="1" style="1" customWidth="1"/>
    <col min="5875" max="5875" width="17.85546875" style="1" customWidth="1"/>
    <col min="5876" max="5877" width="1" style="1" customWidth="1"/>
    <col min="5878" max="5887" width="0" style="1" hidden="1" customWidth="1"/>
    <col min="5888" max="5889" width="1" style="1" customWidth="1"/>
    <col min="5890" max="5890" width="17.85546875" style="1" customWidth="1"/>
    <col min="5891" max="5894" width="1" style="1" customWidth="1"/>
    <col min="5895" max="5895" width="17.85546875" style="1" customWidth="1"/>
    <col min="5896" max="5897" width="1" style="1" customWidth="1"/>
    <col min="5898" max="5942" width="0" style="1" hidden="1" customWidth="1"/>
    <col min="5943" max="5944" width="1" style="1" customWidth="1"/>
    <col min="5945" max="5945" width="17.85546875" style="1" customWidth="1"/>
    <col min="5946" max="5947" width="1" style="1" customWidth="1"/>
    <col min="5948" max="5957" width="0" style="1" hidden="1" customWidth="1"/>
    <col min="5958" max="5959" width="1" style="1" customWidth="1"/>
    <col min="5960" max="5960" width="14.42578125" style="1" customWidth="1"/>
    <col min="5961" max="5962" width="1" style="1" customWidth="1"/>
    <col min="5963" max="5963" width="2" style="1" customWidth="1"/>
    <col min="5964" max="5964" width="3.85546875" style="1" customWidth="1"/>
    <col min="5965" max="5965" width="15.7109375" style="1" customWidth="1"/>
    <col min="5966" max="5966" width="13.42578125" style="1" bestFit="1" customWidth="1"/>
    <col min="5967" max="5967" width="13.85546875" style="1" customWidth="1"/>
    <col min="5968" max="5968" width="13.42578125" style="1" bestFit="1" customWidth="1"/>
    <col min="5969" max="6074" width="10" style="1"/>
    <col min="6075" max="6076" width="0" style="1" hidden="1" customWidth="1"/>
    <col min="6077" max="6077" width="1" style="1" customWidth="1"/>
    <col min="6078" max="6078" width="56" style="1" customWidth="1"/>
    <col min="6079" max="6080" width="1" style="1" customWidth="1"/>
    <col min="6081" max="6081" width="14.42578125" style="1" customWidth="1"/>
    <col min="6082" max="6083" width="1" style="1" customWidth="1"/>
    <col min="6084" max="6128" width="0" style="1" hidden="1" customWidth="1"/>
    <col min="6129" max="6130" width="1" style="1" customWidth="1"/>
    <col min="6131" max="6131" width="17.85546875" style="1" customWidth="1"/>
    <col min="6132" max="6133" width="1" style="1" customWidth="1"/>
    <col min="6134" max="6143" width="0" style="1" hidden="1" customWidth="1"/>
    <col min="6144" max="6145" width="1" style="1" customWidth="1"/>
    <col min="6146" max="6146" width="17.85546875" style="1" customWidth="1"/>
    <col min="6147" max="6150" width="1" style="1" customWidth="1"/>
    <col min="6151" max="6151" width="17.85546875" style="1" customWidth="1"/>
    <col min="6152" max="6153" width="1" style="1" customWidth="1"/>
    <col min="6154" max="6198" width="0" style="1" hidden="1" customWidth="1"/>
    <col min="6199" max="6200" width="1" style="1" customWidth="1"/>
    <col min="6201" max="6201" width="17.85546875" style="1" customWidth="1"/>
    <col min="6202" max="6203" width="1" style="1" customWidth="1"/>
    <col min="6204" max="6213" width="0" style="1" hidden="1" customWidth="1"/>
    <col min="6214" max="6215" width="1" style="1" customWidth="1"/>
    <col min="6216" max="6216" width="14.42578125" style="1" customWidth="1"/>
    <col min="6217" max="6218" width="1" style="1" customWidth="1"/>
    <col min="6219" max="6219" width="2" style="1" customWidth="1"/>
    <col min="6220" max="6220" width="3.85546875" style="1" customWidth="1"/>
    <col min="6221" max="6221" width="15.7109375" style="1" customWidth="1"/>
    <col min="6222" max="6222" width="13.42578125" style="1" bestFit="1" customWidth="1"/>
    <col min="6223" max="6223" width="13.85546875" style="1" customWidth="1"/>
    <col min="6224" max="6224" width="13.42578125" style="1" bestFit="1" customWidth="1"/>
    <col min="6225" max="6330" width="10" style="1"/>
    <col min="6331" max="6332" width="0" style="1" hidden="1" customWidth="1"/>
    <col min="6333" max="6333" width="1" style="1" customWidth="1"/>
    <col min="6334" max="6334" width="56" style="1" customWidth="1"/>
    <col min="6335" max="6336" width="1" style="1" customWidth="1"/>
    <col min="6337" max="6337" width="14.42578125" style="1" customWidth="1"/>
    <col min="6338" max="6339" width="1" style="1" customWidth="1"/>
    <col min="6340" max="6384" width="0" style="1" hidden="1" customWidth="1"/>
    <col min="6385" max="6386" width="1" style="1" customWidth="1"/>
    <col min="6387" max="6387" width="17.85546875" style="1" customWidth="1"/>
    <col min="6388" max="6389" width="1" style="1" customWidth="1"/>
    <col min="6390" max="6399" width="0" style="1" hidden="1" customWidth="1"/>
    <col min="6400" max="6401" width="1" style="1" customWidth="1"/>
    <col min="6402" max="6402" width="17.85546875" style="1" customWidth="1"/>
    <col min="6403" max="6406" width="1" style="1" customWidth="1"/>
    <col min="6407" max="6407" width="17.85546875" style="1" customWidth="1"/>
    <col min="6408" max="6409" width="1" style="1" customWidth="1"/>
    <col min="6410" max="6454" width="0" style="1" hidden="1" customWidth="1"/>
    <col min="6455" max="6456" width="1" style="1" customWidth="1"/>
    <col min="6457" max="6457" width="17.85546875" style="1" customWidth="1"/>
    <col min="6458" max="6459" width="1" style="1" customWidth="1"/>
    <col min="6460" max="6469" width="0" style="1" hidden="1" customWidth="1"/>
    <col min="6470" max="6471" width="1" style="1" customWidth="1"/>
    <col min="6472" max="6472" width="14.42578125" style="1" customWidth="1"/>
    <col min="6473" max="6474" width="1" style="1" customWidth="1"/>
    <col min="6475" max="6475" width="2" style="1" customWidth="1"/>
    <col min="6476" max="6476" width="3.85546875" style="1" customWidth="1"/>
    <col min="6477" max="6477" width="15.7109375" style="1" customWidth="1"/>
    <col min="6478" max="6478" width="13.42578125" style="1" bestFit="1" customWidth="1"/>
    <col min="6479" max="6479" width="13.85546875" style="1" customWidth="1"/>
    <col min="6480" max="6480" width="13.42578125" style="1" bestFit="1" customWidth="1"/>
    <col min="6481" max="6586" width="10" style="1"/>
    <col min="6587" max="6588" width="0" style="1" hidden="1" customWidth="1"/>
    <col min="6589" max="6589" width="1" style="1" customWidth="1"/>
    <col min="6590" max="6590" width="56" style="1" customWidth="1"/>
    <col min="6591" max="6592" width="1" style="1" customWidth="1"/>
    <col min="6593" max="6593" width="14.42578125" style="1" customWidth="1"/>
    <col min="6594" max="6595" width="1" style="1" customWidth="1"/>
    <col min="6596" max="6640" width="0" style="1" hidden="1" customWidth="1"/>
    <col min="6641" max="6642" width="1" style="1" customWidth="1"/>
    <col min="6643" max="6643" width="17.85546875" style="1" customWidth="1"/>
    <col min="6644" max="6645" width="1" style="1" customWidth="1"/>
    <col min="6646" max="6655" width="0" style="1" hidden="1" customWidth="1"/>
    <col min="6656" max="6657" width="1" style="1" customWidth="1"/>
    <col min="6658" max="6658" width="17.85546875" style="1" customWidth="1"/>
    <col min="6659" max="6662" width="1" style="1" customWidth="1"/>
    <col min="6663" max="6663" width="17.85546875" style="1" customWidth="1"/>
    <col min="6664" max="6665" width="1" style="1" customWidth="1"/>
    <col min="6666" max="6710" width="0" style="1" hidden="1" customWidth="1"/>
    <col min="6711" max="6712" width="1" style="1" customWidth="1"/>
    <col min="6713" max="6713" width="17.85546875" style="1" customWidth="1"/>
    <col min="6714" max="6715" width="1" style="1" customWidth="1"/>
    <col min="6716" max="6725" width="0" style="1" hidden="1" customWidth="1"/>
    <col min="6726" max="6727" width="1" style="1" customWidth="1"/>
    <col min="6728" max="6728" width="14.42578125" style="1" customWidth="1"/>
    <col min="6729" max="6730" width="1" style="1" customWidth="1"/>
    <col min="6731" max="6731" width="2" style="1" customWidth="1"/>
    <col min="6732" max="6732" width="3.85546875" style="1" customWidth="1"/>
    <col min="6733" max="6733" width="15.7109375" style="1" customWidth="1"/>
    <col min="6734" max="6734" width="13.42578125" style="1" bestFit="1" customWidth="1"/>
    <col min="6735" max="6735" width="13.85546875" style="1" customWidth="1"/>
    <col min="6736" max="6736" width="13.42578125" style="1" bestFit="1" customWidth="1"/>
    <col min="6737" max="6842" width="10" style="1"/>
    <col min="6843" max="6844" width="0" style="1" hidden="1" customWidth="1"/>
    <col min="6845" max="6845" width="1" style="1" customWidth="1"/>
    <col min="6846" max="6846" width="56" style="1" customWidth="1"/>
    <col min="6847" max="6848" width="1" style="1" customWidth="1"/>
    <col min="6849" max="6849" width="14.42578125" style="1" customWidth="1"/>
    <col min="6850" max="6851" width="1" style="1" customWidth="1"/>
    <col min="6852" max="6896" width="0" style="1" hidden="1" customWidth="1"/>
    <col min="6897" max="6898" width="1" style="1" customWidth="1"/>
    <col min="6899" max="6899" width="17.85546875" style="1" customWidth="1"/>
    <col min="6900" max="6901" width="1" style="1" customWidth="1"/>
    <col min="6902" max="6911" width="0" style="1" hidden="1" customWidth="1"/>
    <col min="6912" max="6913" width="1" style="1" customWidth="1"/>
    <col min="6914" max="6914" width="17.85546875" style="1" customWidth="1"/>
    <col min="6915" max="6918" width="1" style="1" customWidth="1"/>
    <col min="6919" max="6919" width="17.85546875" style="1" customWidth="1"/>
    <col min="6920" max="6921" width="1" style="1" customWidth="1"/>
    <col min="6922" max="6966" width="0" style="1" hidden="1" customWidth="1"/>
    <col min="6967" max="6968" width="1" style="1" customWidth="1"/>
    <col min="6969" max="6969" width="17.85546875" style="1" customWidth="1"/>
    <col min="6970" max="6971" width="1" style="1" customWidth="1"/>
    <col min="6972" max="6981" width="0" style="1" hidden="1" customWidth="1"/>
    <col min="6982" max="6983" width="1" style="1" customWidth="1"/>
    <col min="6984" max="6984" width="14.42578125" style="1" customWidth="1"/>
    <col min="6985" max="6986" width="1" style="1" customWidth="1"/>
    <col min="6987" max="6987" width="2" style="1" customWidth="1"/>
    <col min="6988" max="6988" width="3.85546875" style="1" customWidth="1"/>
    <col min="6989" max="6989" width="15.7109375" style="1" customWidth="1"/>
    <col min="6990" max="6990" width="13.42578125" style="1" bestFit="1" customWidth="1"/>
    <col min="6991" max="6991" width="13.85546875" style="1" customWidth="1"/>
    <col min="6992" max="6992" width="13.42578125" style="1" bestFit="1" customWidth="1"/>
    <col min="6993" max="7098" width="10" style="1"/>
    <col min="7099" max="7100" width="0" style="1" hidden="1" customWidth="1"/>
    <col min="7101" max="7101" width="1" style="1" customWidth="1"/>
    <col min="7102" max="7102" width="56" style="1" customWidth="1"/>
    <col min="7103" max="7104" width="1" style="1" customWidth="1"/>
    <col min="7105" max="7105" width="14.42578125" style="1" customWidth="1"/>
    <col min="7106" max="7107" width="1" style="1" customWidth="1"/>
    <col min="7108" max="7152" width="0" style="1" hidden="1" customWidth="1"/>
    <col min="7153" max="7154" width="1" style="1" customWidth="1"/>
    <col min="7155" max="7155" width="17.85546875" style="1" customWidth="1"/>
    <col min="7156" max="7157" width="1" style="1" customWidth="1"/>
    <col min="7158" max="7167" width="0" style="1" hidden="1" customWidth="1"/>
    <col min="7168" max="7169" width="1" style="1" customWidth="1"/>
    <col min="7170" max="7170" width="17.85546875" style="1" customWidth="1"/>
    <col min="7171" max="7174" width="1" style="1" customWidth="1"/>
    <col min="7175" max="7175" width="17.85546875" style="1" customWidth="1"/>
    <col min="7176" max="7177" width="1" style="1" customWidth="1"/>
    <col min="7178" max="7222" width="0" style="1" hidden="1" customWidth="1"/>
    <col min="7223" max="7224" width="1" style="1" customWidth="1"/>
    <col min="7225" max="7225" width="17.85546875" style="1" customWidth="1"/>
    <col min="7226" max="7227" width="1" style="1" customWidth="1"/>
    <col min="7228" max="7237" width="0" style="1" hidden="1" customWidth="1"/>
    <col min="7238" max="7239" width="1" style="1" customWidth="1"/>
    <col min="7240" max="7240" width="14.42578125" style="1" customWidth="1"/>
    <col min="7241" max="7242" width="1" style="1" customWidth="1"/>
    <col min="7243" max="7243" width="2" style="1" customWidth="1"/>
    <col min="7244" max="7244" width="3.85546875" style="1" customWidth="1"/>
    <col min="7245" max="7245" width="15.7109375" style="1" customWidth="1"/>
    <col min="7246" max="7246" width="13.42578125" style="1" bestFit="1" customWidth="1"/>
    <col min="7247" max="7247" width="13.85546875" style="1" customWidth="1"/>
    <col min="7248" max="7248" width="13.42578125" style="1" bestFit="1" customWidth="1"/>
    <col min="7249" max="7354" width="10" style="1"/>
    <col min="7355" max="7356" width="0" style="1" hidden="1" customWidth="1"/>
    <col min="7357" max="7357" width="1" style="1" customWidth="1"/>
    <col min="7358" max="7358" width="56" style="1" customWidth="1"/>
    <col min="7359" max="7360" width="1" style="1" customWidth="1"/>
    <col min="7361" max="7361" width="14.42578125" style="1" customWidth="1"/>
    <col min="7362" max="7363" width="1" style="1" customWidth="1"/>
    <col min="7364" max="7408" width="0" style="1" hidden="1" customWidth="1"/>
    <col min="7409" max="7410" width="1" style="1" customWidth="1"/>
    <col min="7411" max="7411" width="17.85546875" style="1" customWidth="1"/>
    <col min="7412" max="7413" width="1" style="1" customWidth="1"/>
    <col min="7414" max="7423" width="0" style="1" hidden="1" customWidth="1"/>
    <col min="7424" max="7425" width="1" style="1" customWidth="1"/>
    <col min="7426" max="7426" width="17.85546875" style="1" customWidth="1"/>
    <col min="7427" max="7430" width="1" style="1" customWidth="1"/>
    <col min="7431" max="7431" width="17.85546875" style="1" customWidth="1"/>
    <col min="7432" max="7433" width="1" style="1" customWidth="1"/>
    <col min="7434" max="7478" width="0" style="1" hidden="1" customWidth="1"/>
    <col min="7479" max="7480" width="1" style="1" customWidth="1"/>
    <col min="7481" max="7481" width="17.85546875" style="1" customWidth="1"/>
    <col min="7482" max="7483" width="1" style="1" customWidth="1"/>
    <col min="7484" max="7493" width="0" style="1" hidden="1" customWidth="1"/>
    <col min="7494" max="7495" width="1" style="1" customWidth="1"/>
    <col min="7496" max="7496" width="14.42578125" style="1" customWidth="1"/>
    <col min="7497" max="7498" width="1" style="1" customWidth="1"/>
    <col min="7499" max="7499" width="2" style="1" customWidth="1"/>
    <col min="7500" max="7500" width="3.85546875" style="1" customWidth="1"/>
    <col min="7501" max="7501" width="15.7109375" style="1" customWidth="1"/>
    <col min="7502" max="7502" width="13.42578125" style="1" bestFit="1" customWidth="1"/>
    <col min="7503" max="7503" width="13.85546875" style="1" customWidth="1"/>
    <col min="7504" max="7504" width="13.42578125" style="1" bestFit="1" customWidth="1"/>
    <col min="7505" max="7610" width="10" style="1"/>
    <col min="7611" max="7612" width="0" style="1" hidden="1" customWidth="1"/>
    <col min="7613" max="7613" width="1" style="1" customWidth="1"/>
    <col min="7614" max="7614" width="56" style="1" customWidth="1"/>
    <col min="7615" max="7616" width="1" style="1" customWidth="1"/>
    <col min="7617" max="7617" width="14.42578125" style="1" customWidth="1"/>
    <col min="7618" max="7619" width="1" style="1" customWidth="1"/>
    <col min="7620" max="7664" width="0" style="1" hidden="1" customWidth="1"/>
    <col min="7665" max="7666" width="1" style="1" customWidth="1"/>
    <col min="7667" max="7667" width="17.85546875" style="1" customWidth="1"/>
    <col min="7668" max="7669" width="1" style="1" customWidth="1"/>
    <col min="7670" max="7679" width="0" style="1" hidden="1" customWidth="1"/>
    <col min="7680" max="7681" width="1" style="1" customWidth="1"/>
    <col min="7682" max="7682" width="17.85546875" style="1" customWidth="1"/>
    <col min="7683" max="7686" width="1" style="1" customWidth="1"/>
    <col min="7687" max="7687" width="17.85546875" style="1" customWidth="1"/>
    <col min="7688" max="7689" width="1" style="1" customWidth="1"/>
    <col min="7690" max="7734" width="0" style="1" hidden="1" customWidth="1"/>
    <col min="7735" max="7736" width="1" style="1" customWidth="1"/>
    <col min="7737" max="7737" width="17.85546875" style="1" customWidth="1"/>
    <col min="7738" max="7739" width="1" style="1" customWidth="1"/>
    <col min="7740" max="7749" width="0" style="1" hidden="1" customWidth="1"/>
    <col min="7750" max="7751" width="1" style="1" customWidth="1"/>
    <col min="7752" max="7752" width="14.42578125" style="1" customWidth="1"/>
    <col min="7753" max="7754" width="1" style="1" customWidth="1"/>
    <col min="7755" max="7755" width="2" style="1" customWidth="1"/>
    <col min="7756" max="7756" width="3.85546875" style="1" customWidth="1"/>
    <col min="7757" max="7757" width="15.7109375" style="1" customWidth="1"/>
    <col min="7758" max="7758" width="13.42578125" style="1" bestFit="1" customWidth="1"/>
    <col min="7759" max="7759" width="13.85546875" style="1" customWidth="1"/>
    <col min="7760" max="7760" width="13.42578125" style="1" bestFit="1" customWidth="1"/>
    <col min="7761" max="7866" width="10" style="1"/>
    <col min="7867" max="7868" width="0" style="1" hidden="1" customWidth="1"/>
    <col min="7869" max="7869" width="1" style="1" customWidth="1"/>
    <col min="7870" max="7870" width="56" style="1" customWidth="1"/>
    <col min="7871" max="7872" width="1" style="1" customWidth="1"/>
    <col min="7873" max="7873" width="14.42578125" style="1" customWidth="1"/>
    <col min="7874" max="7875" width="1" style="1" customWidth="1"/>
    <col min="7876" max="7920" width="0" style="1" hidden="1" customWidth="1"/>
    <col min="7921" max="7922" width="1" style="1" customWidth="1"/>
    <col min="7923" max="7923" width="17.85546875" style="1" customWidth="1"/>
    <col min="7924" max="7925" width="1" style="1" customWidth="1"/>
    <col min="7926" max="7935" width="0" style="1" hidden="1" customWidth="1"/>
    <col min="7936" max="7937" width="1" style="1" customWidth="1"/>
    <col min="7938" max="7938" width="17.85546875" style="1" customWidth="1"/>
    <col min="7939" max="7942" width="1" style="1" customWidth="1"/>
    <col min="7943" max="7943" width="17.85546875" style="1" customWidth="1"/>
    <col min="7944" max="7945" width="1" style="1" customWidth="1"/>
    <col min="7946" max="7990" width="0" style="1" hidden="1" customWidth="1"/>
    <col min="7991" max="7992" width="1" style="1" customWidth="1"/>
    <col min="7993" max="7993" width="17.85546875" style="1" customWidth="1"/>
    <col min="7994" max="7995" width="1" style="1" customWidth="1"/>
    <col min="7996" max="8005" width="0" style="1" hidden="1" customWidth="1"/>
    <col min="8006" max="8007" width="1" style="1" customWidth="1"/>
    <col min="8008" max="8008" width="14.42578125" style="1" customWidth="1"/>
    <col min="8009" max="8010" width="1" style="1" customWidth="1"/>
    <col min="8011" max="8011" width="2" style="1" customWidth="1"/>
    <col min="8012" max="8012" width="3.85546875" style="1" customWidth="1"/>
    <col min="8013" max="8013" width="15.7109375" style="1" customWidth="1"/>
    <col min="8014" max="8014" width="13.42578125" style="1" bestFit="1" customWidth="1"/>
    <col min="8015" max="8015" width="13.85546875" style="1" customWidth="1"/>
    <col min="8016" max="8016" width="13.42578125" style="1" bestFit="1" customWidth="1"/>
    <col min="8017" max="8122" width="10" style="1"/>
    <col min="8123" max="8124" width="0" style="1" hidden="1" customWidth="1"/>
    <col min="8125" max="8125" width="1" style="1" customWidth="1"/>
    <col min="8126" max="8126" width="56" style="1" customWidth="1"/>
    <col min="8127" max="8128" width="1" style="1" customWidth="1"/>
    <col min="8129" max="8129" width="14.42578125" style="1" customWidth="1"/>
    <col min="8130" max="8131" width="1" style="1" customWidth="1"/>
    <col min="8132" max="8176" width="0" style="1" hidden="1" customWidth="1"/>
    <col min="8177" max="8178" width="1" style="1" customWidth="1"/>
    <col min="8179" max="8179" width="17.85546875" style="1" customWidth="1"/>
    <col min="8180" max="8181" width="1" style="1" customWidth="1"/>
    <col min="8182" max="8191" width="0" style="1" hidden="1" customWidth="1"/>
    <col min="8192" max="8193" width="1" style="1" customWidth="1"/>
    <col min="8194" max="8194" width="17.85546875" style="1" customWidth="1"/>
    <col min="8195" max="8198" width="1" style="1" customWidth="1"/>
    <col min="8199" max="8199" width="17.85546875" style="1" customWidth="1"/>
    <col min="8200" max="8201" width="1" style="1" customWidth="1"/>
    <col min="8202" max="8246" width="0" style="1" hidden="1" customWidth="1"/>
    <col min="8247" max="8248" width="1" style="1" customWidth="1"/>
    <col min="8249" max="8249" width="17.85546875" style="1" customWidth="1"/>
    <col min="8250" max="8251" width="1" style="1" customWidth="1"/>
    <col min="8252" max="8261" width="0" style="1" hidden="1" customWidth="1"/>
    <col min="8262" max="8263" width="1" style="1" customWidth="1"/>
    <col min="8264" max="8264" width="14.42578125" style="1" customWidth="1"/>
    <col min="8265" max="8266" width="1" style="1" customWidth="1"/>
    <col min="8267" max="8267" width="2" style="1" customWidth="1"/>
    <col min="8268" max="8268" width="3.85546875" style="1" customWidth="1"/>
    <col min="8269" max="8269" width="15.7109375" style="1" customWidth="1"/>
    <col min="8270" max="8270" width="13.42578125" style="1" bestFit="1" customWidth="1"/>
    <col min="8271" max="8271" width="13.85546875" style="1" customWidth="1"/>
    <col min="8272" max="8272" width="13.42578125" style="1" bestFit="1" customWidth="1"/>
    <col min="8273" max="8378" width="10" style="1"/>
    <col min="8379" max="8380" width="0" style="1" hidden="1" customWidth="1"/>
    <col min="8381" max="8381" width="1" style="1" customWidth="1"/>
    <col min="8382" max="8382" width="56" style="1" customWidth="1"/>
    <col min="8383" max="8384" width="1" style="1" customWidth="1"/>
    <col min="8385" max="8385" width="14.42578125" style="1" customWidth="1"/>
    <col min="8386" max="8387" width="1" style="1" customWidth="1"/>
    <col min="8388" max="8432" width="0" style="1" hidden="1" customWidth="1"/>
    <col min="8433" max="8434" width="1" style="1" customWidth="1"/>
    <col min="8435" max="8435" width="17.85546875" style="1" customWidth="1"/>
    <col min="8436" max="8437" width="1" style="1" customWidth="1"/>
    <col min="8438" max="8447" width="0" style="1" hidden="1" customWidth="1"/>
    <col min="8448" max="8449" width="1" style="1" customWidth="1"/>
    <col min="8450" max="8450" width="17.85546875" style="1" customWidth="1"/>
    <col min="8451" max="8454" width="1" style="1" customWidth="1"/>
    <col min="8455" max="8455" width="17.85546875" style="1" customWidth="1"/>
    <col min="8456" max="8457" width="1" style="1" customWidth="1"/>
    <col min="8458" max="8502" width="0" style="1" hidden="1" customWidth="1"/>
    <col min="8503" max="8504" width="1" style="1" customWidth="1"/>
    <col min="8505" max="8505" width="17.85546875" style="1" customWidth="1"/>
    <col min="8506" max="8507" width="1" style="1" customWidth="1"/>
    <col min="8508" max="8517" width="0" style="1" hidden="1" customWidth="1"/>
    <col min="8518" max="8519" width="1" style="1" customWidth="1"/>
    <col min="8520" max="8520" width="14.42578125" style="1" customWidth="1"/>
    <col min="8521" max="8522" width="1" style="1" customWidth="1"/>
    <col min="8523" max="8523" width="2" style="1" customWidth="1"/>
    <col min="8524" max="8524" width="3.85546875" style="1" customWidth="1"/>
    <col min="8525" max="8525" width="15.7109375" style="1" customWidth="1"/>
    <col min="8526" max="8526" width="13.42578125" style="1" bestFit="1" customWidth="1"/>
    <col min="8527" max="8527" width="13.85546875" style="1" customWidth="1"/>
    <col min="8528" max="8528" width="13.42578125" style="1" bestFit="1" customWidth="1"/>
    <col min="8529" max="8634" width="10" style="1"/>
    <col min="8635" max="8636" width="0" style="1" hidden="1" customWidth="1"/>
    <col min="8637" max="8637" width="1" style="1" customWidth="1"/>
    <col min="8638" max="8638" width="56" style="1" customWidth="1"/>
    <col min="8639" max="8640" width="1" style="1" customWidth="1"/>
    <col min="8641" max="8641" width="14.42578125" style="1" customWidth="1"/>
    <col min="8642" max="8643" width="1" style="1" customWidth="1"/>
    <col min="8644" max="8688" width="0" style="1" hidden="1" customWidth="1"/>
    <col min="8689" max="8690" width="1" style="1" customWidth="1"/>
    <col min="8691" max="8691" width="17.85546875" style="1" customWidth="1"/>
    <col min="8692" max="8693" width="1" style="1" customWidth="1"/>
    <col min="8694" max="8703" width="0" style="1" hidden="1" customWidth="1"/>
    <col min="8704" max="8705" width="1" style="1" customWidth="1"/>
    <col min="8706" max="8706" width="17.85546875" style="1" customWidth="1"/>
    <col min="8707" max="8710" width="1" style="1" customWidth="1"/>
    <col min="8711" max="8711" width="17.85546875" style="1" customWidth="1"/>
    <col min="8712" max="8713" width="1" style="1" customWidth="1"/>
    <col min="8714" max="8758" width="0" style="1" hidden="1" customWidth="1"/>
    <col min="8759" max="8760" width="1" style="1" customWidth="1"/>
    <col min="8761" max="8761" width="17.85546875" style="1" customWidth="1"/>
    <col min="8762" max="8763" width="1" style="1" customWidth="1"/>
    <col min="8764" max="8773" width="0" style="1" hidden="1" customWidth="1"/>
    <col min="8774" max="8775" width="1" style="1" customWidth="1"/>
    <col min="8776" max="8776" width="14.42578125" style="1" customWidth="1"/>
    <col min="8777" max="8778" width="1" style="1" customWidth="1"/>
    <col min="8779" max="8779" width="2" style="1" customWidth="1"/>
    <col min="8780" max="8780" width="3.85546875" style="1" customWidth="1"/>
    <col min="8781" max="8781" width="15.7109375" style="1" customWidth="1"/>
    <col min="8782" max="8782" width="13.42578125" style="1" bestFit="1" customWidth="1"/>
    <col min="8783" max="8783" width="13.85546875" style="1" customWidth="1"/>
    <col min="8784" max="8784" width="13.42578125" style="1" bestFit="1" customWidth="1"/>
    <col min="8785" max="8890" width="10" style="1"/>
    <col min="8891" max="8892" width="0" style="1" hidden="1" customWidth="1"/>
    <col min="8893" max="8893" width="1" style="1" customWidth="1"/>
    <col min="8894" max="8894" width="56" style="1" customWidth="1"/>
    <col min="8895" max="8896" width="1" style="1" customWidth="1"/>
    <col min="8897" max="8897" width="14.42578125" style="1" customWidth="1"/>
    <col min="8898" max="8899" width="1" style="1" customWidth="1"/>
    <col min="8900" max="8944" width="0" style="1" hidden="1" customWidth="1"/>
    <col min="8945" max="8946" width="1" style="1" customWidth="1"/>
    <col min="8947" max="8947" width="17.85546875" style="1" customWidth="1"/>
    <col min="8948" max="8949" width="1" style="1" customWidth="1"/>
    <col min="8950" max="8959" width="0" style="1" hidden="1" customWidth="1"/>
    <col min="8960" max="8961" width="1" style="1" customWidth="1"/>
    <col min="8962" max="8962" width="17.85546875" style="1" customWidth="1"/>
    <col min="8963" max="8966" width="1" style="1" customWidth="1"/>
    <col min="8967" max="8967" width="17.85546875" style="1" customWidth="1"/>
    <col min="8968" max="8969" width="1" style="1" customWidth="1"/>
    <col min="8970" max="9014" width="0" style="1" hidden="1" customWidth="1"/>
    <col min="9015" max="9016" width="1" style="1" customWidth="1"/>
    <col min="9017" max="9017" width="17.85546875" style="1" customWidth="1"/>
    <col min="9018" max="9019" width="1" style="1" customWidth="1"/>
    <col min="9020" max="9029" width="0" style="1" hidden="1" customWidth="1"/>
    <col min="9030" max="9031" width="1" style="1" customWidth="1"/>
    <col min="9032" max="9032" width="14.42578125" style="1" customWidth="1"/>
    <col min="9033" max="9034" width="1" style="1" customWidth="1"/>
    <col min="9035" max="9035" width="2" style="1" customWidth="1"/>
    <col min="9036" max="9036" width="3.85546875" style="1" customWidth="1"/>
    <col min="9037" max="9037" width="15.7109375" style="1" customWidth="1"/>
    <col min="9038" max="9038" width="13.42578125" style="1" bestFit="1" customWidth="1"/>
    <col min="9039" max="9039" width="13.85546875" style="1" customWidth="1"/>
    <col min="9040" max="9040" width="13.42578125" style="1" bestFit="1" customWidth="1"/>
    <col min="9041" max="9146" width="10" style="1"/>
    <col min="9147" max="9148" width="0" style="1" hidden="1" customWidth="1"/>
    <col min="9149" max="9149" width="1" style="1" customWidth="1"/>
    <col min="9150" max="9150" width="56" style="1" customWidth="1"/>
    <col min="9151" max="9152" width="1" style="1" customWidth="1"/>
    <col min="9153" max="9153" width="14.42578125" style="1" customWidth="1"/>
    <col min="9154" max="9155" width="1" style="1" customWidth="1"/>
    <col min="9156" max="9200" width="0" style="1" hidden="1" customWidth="1"/>
    <col min="9201" max="9202" width="1" style="1" customWidth="1"/>
    <col min="9203" max="9203" width="17.85546875" style="1" customWidth="1"/>
    <col min="9204" max="9205" width="1" style="1" customWidth="1"/>
    <col min="9206" max="9215" width="0" style="1" hidden="1" customWidth="1"/>
    <col min="9216" max="9217" width="1" style="1" customWidth="1"/>
    <col min="9218" max="9218" width="17.85546875" style="1" customWidth="1"/>
    <col min="9219" max="9222" width="1" style="1" customWidth="1"/>
    <col min="9223" max="9223" width="17.85546875" style="1" customWidth="1"/>
    <col min="9224" max="9225" width="1" style="1" customWidth="1"/>
    <col min="9226" max="9270" width="0" style="1" hidden="1" customWidth="1"/>
    <col min="9271" max="9272" width="1" style="1" customWidth="1"/>
    <col min="9273" max="9273" width="17.85546875" style="1" customWidth="1"/>
    <col min="9274" max="9275" width="1" style="1" customWidth="1"/>
    <col min="9276" max="9285" width="0" style="1" hidden="1" customWidth="1"/>
    <col min="9286" max="9287" width="1" style="1" customWidth="1"/>
    <col min="9288" max="9288" width="14.42578125" style="1" customWidth="1"/>
    <col min="9289" max="9290" width="1" style="1" customWidth="1"/>
    <col min="9291" max="9291" width="2" style="1" customWidth="1"/>
    <col min="9292" max="9292" width="3.85546875" style="1" customWidth="1"/>
    <col min="9293" max="9293" width="15.7109375" style="1" customWidth="1"/>
    <col min="9294" max="9294" width="13.42578125" style="1" bestFit="1" customWidth="1"/>
    <col min="9295" max="9295" width="13.85546875" style="1" customWidth="1"/>
    <col min="9296" max="9296" width="13.42578125" style="1" bestFit="1" customWidth="1"/>
    <col min="9297" max="9402" width="10" style="1"/>
    <col min="9403" max="9404" width="0" style="1" hidden="1" customWidth="1"/>
    <col min="9405" max="9405" width="1" style="1" customWidth="1"/>
    <col min="9406" max="9406" width="56" style="1" customWidth="1"/>
    <col min="9407" max="9408" width="1" style="1" customWidth="1"/>
    <col min="9409" max="9409" width="14.42578125" style="1" customWidth="1"/>
    <col min="9410" max="9411" width="1" style="1" customWidth="1"/>
    <col min="9412" max="9456" width="0" style="1" hidden="1" customWidth="1"/>
    <col min="9457" max="9458" width="1" style="1" customWidth="1"/>
    <col min="9459" max="9459" width="17.85546875" style="1" customWidth="1"/>
    <col min="9460" max="9461" width="1" style="1" customWidth="1"/>
    <col min="9462" max="9471" width="0" style="1" hidden="1" customWidth="1"/>
    <col min="9472" max="9473" width="1" style="1" customWidth="1"/>
    <col min="9474" max="9474" width="17.85546875" style="1" customWidth="1"/>
    <col min="9475" max="9478" width="1" style="1" customWidth="1"/>
    <col min="9479" max="9479" width="17.85546875" style="1" customWidth="1"/>
    <col min="9480" max="9481" width="1" style="1" customWidth="1"/>
    <col min="9482" max="9526" width="0" style="1" hidden="1" customWidth="1"/>
    <col min="9527" max="9528" width="1" style="1" customWidth="1"/>
    <col min="9529" max="9529" width="17.85546875" style="1" customWidth="1"/>
    <col min="9530" max="9531" width="1" style="1" customWidth="1"/>
    <col min="9532" max="9541" width="0" style="1" hidden="1" customWidth="1"/>
    <col min="9542" max="9543" width="1" style="1" customWidth="1"/>
    <col min="9544" max="9544" width="14.42578125" style="1" customWidth="1"/>
    <col min="9545" max="9546" width="1" style="1" customWidth="1"/>
    <col min="9547" max="9547" width="2" style="1" customWidth="1"/>
    <col min="9548" max="9548" width="3.85546875" style="1" customWidth="1"/>
    <col min="9549" max="9549" width="15.7109375" style="1" customWidth="1"/>
    <col min="9550" max="9550" width="13.42578125" style="1" bestFit="1" customWidth="1"/>
    <col min="9551" max="9551" width="13.85546875" style="1" customWidth="1"/>
    <col min="9552" max="9552" width="13.42578125" style="1" bestFit="1" customWidth="1"/>
    <col min="9553" max="9658" width="10" style="1"/>
    <col min="9659" max="9660" width="0" style="1" hidden="1" customWidth="1"/>
    <col min="9661" max="9661" width="1" style="1" customWidth="1"/>
    <col min="9662" max="9662" width="56" style="1" customWidth="1"/>
    <col min="9663" max="9664" width="1" style="1" customWidth="1"/>
    <col min="9665" max="9665" width="14.42578125" style="1" customWidth="1"/>
    <col min="9666" max="9667" width="1" style="1" customWidth="1"/>
    <col min="9668" max="9712" width="0" style="1" hidden="1" customWidth="1"/>
    <col min="9713" max="9714" width="1" style="1" customWidth="1"/>
    <col min="9715" max="9715" width="17.85546875" style="1" customWidth="1"/>
    <col min="9716" max="9717" width="1" style="1" customWidth="1"/>
    <col min="9718" max="9727" width="0" style="1" hidden="1" customWidth="1"/>
    <col min="9728" max="9729" width="1" style="1" customWidth="1"/>
    <col min="9730" max="9730" width="17.85546875" style="1" customWidth="1"/>
    <col min="9731" max="9734" width="1" style="1" customWidth="1"/>
    <col min="9735" max="9735" width="17.85546875" style="1" customWidth="1"/>
    <col min="9736" max="9737" width="1" style="1" customWidth="1"/>
    <col min="9738" max="9782" width="0" style="1" hidden="1" customWidth="1"/>
    <col min="9783" max="9784" width="1" style="1" customWidth="1"/>
    <col min="9785" max="9785" width="17.85546875" style="1" customWidth="1"/>
    <col min="9786" max="9787" width="1" style="1" customWidth="1"/>
    <col min="9788" max="9797" width="0" style="1" hidden="1" customWidth="1"/>
    <col min="9798" max="9799" width="1" style="1" customWidth="1"/>
    <col min="9800" max="9800" width="14.42578125" style="1" customWidth="1"/>
    <col min="9801" max="9802" width="1" style="1" customWidth="1"/>
    <col min="9803" max="9803" width="2" style="1" customWidth="1"/>
    <col min="9804" max="9804" width="3.85546875" style="1" customWidth="1"/>
    <col min="9805" max="9805" width="15.7109375" style="1" customWidth="1"/>
    <col min="9806" max="9806" width="13.42578125" style="1" bestFit="1" customWidth="1"/>
    <col min="9807" max="9807" width="13.85546875" style="1" customWidth="1"/>
    <col min="9808" max="9808" width="13.42578125" style="1" bestFit="1" customWidth="1"/>
    <col min="9809" max="9914" width="10" style="1"/>
    <col min="9915" max="9916" width="0" style="1" hidden="1" customWidth="1"/>
    <col min="9917" max="9917" width="1" style="1" customWidth="1"/>
    <col min="9918" max="9918" width="56" style="1" customWidth="1"/>
    <col min="9919" max="9920" width="1" style="1" customWidth="1"/>
    <col min="9921" max="9921" width="14.42578125" style="1" customWidth="1"/>
    <col min="9922" max="9923" width="1" style="1" customWidth="1"/>
    <col min="9924" max="9968" width="0" style="1" hidden="1" customWidth="1"/>
    <col min="9969" max="9970" width="1" style="1" customWidth="1"/>
    <col min="9971" max="9971" width="17.85546875" style="1" customWidth="1"/>
    <col min="9972" max="9973" width="1" style="1" customWidth="1"/>
    <col min="9974" max="9983" width="0" style="1" hidden="1" customWidth="1"/>
    <col min="9984" max="9985" width="1" style="1" customWidth="1"/>
    <col min="9986" max="9986" width="17.85546875" style="1" customWidth="1"/>
    <col min="9987" max="9990" width="1" style="1" customWidth="1"/>
    <col min="9991" max="9991" width="17.85546875" style="1" customWidth="1"/>
    <col min="9992" max="9993" width="1" style="1" customWidth="1"/>
    <col min="9994" max="10038" width="0" style="1" hidden="1" customWidth="1"/>
    <col min="10039" max="10040" width="1" style="1" customWidth="1"/>
    <col min="10041" max="10041" width="17.85546875" style="1" customWidth="1"/>
    <col min="10042" max="10043" width="1" style="1" customWidth="1"/>
    <col min="10044" max="10053" width="0" style="1" hidden="1" customWidth="1"/>
    <col min="10054" max="10055" width="1" style="1" customWidth="1"/>
    <col min="10056" max="10056" width="14.42578125" style="1" customWidth="1"/>
    <col min="10057" max="10058" width="1" style="1" customWidth="1"/>
    <col min="10059" max="10059" width="2" style="1" customWidth="1"/>
    <col min="10060" max="10060" width="3.85546875" style="1" customWidth="1"/>
    <col min="10061" max="10061" width="15.7109375" style="1" customWidth="1"/>
    <col min="10062" max="10062" width="13.42578125" style="1" bestFit="1" customWidth="1"/>
    <col min="10063" max="10063" width="13.85546875" style="1" customWidth="1"/>
    <col min="10064" max="10064" width="13.42578125" style="1" bestFit="1" customWidth="1"/>
    <col min="10065" max="10170" width="10" style="1"/>
    <col min="10171" max="10172" width="0" style="1" hidden="1" customWidth="1"/>
    <col min="10173" max="10173" width="1" style="1" customWidth="1"/>
    <col min="10174" max="10174" width="56" style="1" customWidth="1"/>
    <col min="10175" max="10176" width="1" style="1" customWidth="1"/>
    <col min="10177" max="10177" width="14.42578125" style="1" customWidth="1"/>
    <col min="10178" max="10179" width="1" style="1" customWidth="1"/>
    <col min="10180" max="10224" width="0" style="1" hidden="1" customWidth="1"/>
    <col min="10225" max="10226" width="1" style="1" customWidth="1"/>
    <col min="10227" max="10227" width="17.85546875" style="1" customWidth="1"/>
    <col min="10228" max="10229" width="1" style="1" customWidth="1"/>
    <col min="10230" max="10239" width="0" style="1" hidden="1" customWidth="1"/>
    <col min="10240" max="10241" width="1" style="1" customWidth="1"/>
    <col min="10242" max="10242" width="17.85546875" style="1" customWidth="1"/>
    <col min="10243" max="10246" width="1" style="1" customWidth="1"/>
    <col min="10247" max="10247" width="17.85546875" style="1" customWidth="1"/>
    <col min="10248" max="10249" width="1" style="1" customWidth="1"/>
    <col min="10250" max="10294" width="0" style="1" hidden="1" customWidth="1"/>
    <col min="10295" max="10296" width="1" style="1" customWidth="1"/>
    <col min="10297" max="10297" width="17.85546875" style="1" customWidth="1"/>
    <col min="10298" max="10299" width="1" style="1" customWidth="1"/>
    <col min="10300" max="10309" width="0" style="1" hidden="1" customWidth="1"/>
    <col min="10310" max="10311" width="1" style="1" customWidth="1"/>
    <col min="10312" max="10312" width="14.42578125" style="1" customWidth="1"/>
    <col min="10313" max="10314" width="1" style="1" customWidth="1"/>
    <col min="10315" max="10315" width="2" style="1" customWidth="1"/>
    <col min="10316" max="10316" width="3.85546875" style="1" customWidth="1"/>
    <col min="10317" max="10317" width="15.7109375" style="1" customWidth="1"/>
    <col min="10318" max="10318" width="13.42578125" style="1" bestFit="1" customWidth="1"/>
    <col min="10319" max="10319" width="13.85546875" style="1" customWidth="1"/>
    <col min="10320" max="10320" width="13.42578125" style="1" bestFit="1" customWidth="1"/>
    <col min="10321" max="10426" width="10" style="1"/>
    <col min="10427" max="10428" width="0" style="1" hidden="1" customWidth="1"/>
    <col min="10429" max="10429" width="1" style="1" customWidth="1"/>
    <col min="10430" max="10430" width="56" style="1" customWidth="1"/>
    <col min="10431" max="10432" width="1" style="1" customWidth="1"/>
    <col min="10433" max="10433" width="14.42578125" style="1" customWidth="1"/>
    <col min="10434" max="10435" width="1" style="1" customWidth="1"/>
    <col min="10436" max="10480" width="0" style="1" hidden="1" customWidth="1"/>
    <col min="10481" max="10482" width="1" style="1" customWidth="1"/>
    <col min="10483" max="10483" width="17.85546875" style="1" customWidth="1"/>
    <col min="10484" max="10485" width="1" style="1" customWidth="1"/>
    <col min="10486" max="10495" width="0" style="1" hidden="1" customWidth="1"/>
    <col min="10496" max="10497" width="1" style="1" customWidth="1"/>
    <col min="10498" max="10498" width="17.85546875" style="1" customWidth="1"/>
    <col min="10499" max="10502" width="1" style="1" customWidth="1"/>
    <col min="10503" max="10503" width="17.85546875" style="1" customWidth="1"/>
    <col min="10504" max="10505" width="1" style="1" customWidth="1"/>
    <col min="10506" max="10550" width="0" style="1" hidden="1" customWidth="1"/>
    <col min="10551" max="10552" width="1" style="1" customWidth="1"/>
    <col min="10553" max="10553" width="17.85546875" style="1" customWidth="1"/>
    <col min="10554" max="10555" width="1" style="1" customWidth="1"/>
    <col min="10556" max="10565" width="0" style="1" hidden="1" customWidth="1"/>
    <col min="10566" max="10567" width="1" style="1" customWidth="1"/>
    <col min="10568" max="10568" width="14.42578125" style="1" customWidth="1"/>
    <col min="10569" max="10570" width="1" style="1" customWidth="1"/>
    <col min="10571" max="10571" width="2" style="1" customWidth="1"/>
    <col min="10572" max="10572" width="3.85546875" style="1" customWidth="1"/>
    <col min="10573" max="10573" width="15.7109375" style="1" customWidth="1"/>
    <col min="10574" max="10574" width="13.42578125" style="1" bestFit="1" customWidth="1"/>
    <col min="10575" max="10575" width="13.85546875" style="1" customWidth="1"/>
    <col min="10576" max="10576" width="13.42578125" style="1" bestFit="1" customWidth="1"/>
    <col min="10577" max="10682" width="10" style="1"/>
    <col min="10683" max="10684" width="0" style="1" hidden="1" customWidth="1"/>
    <col min="10685" max="10685" width="1" style="1" customWidth="1"/>
    <col min="10686" max="10686" width="56" style="1" customWidth="1"/>
    <col min="10687" max="10688" width="1" style="1" customWidth="1"/>
    <col min="10689" max="10689" width="14.42578125" style="1" customWidth="1"/>
    <col min="10690" max="10691" width="1" style="1" customWidth="1"/>
    <col min="10692" max="10736" width="0" style="1" hidden="1" customWidth="1"/>
    <col min="10737" max="10738" width="1" style="1" customWidth="1"/>
    <col min="10739" max="10739" width="17.85546875" style="1" customWidth="1"/>
    <col min="10740" max="10741" width="1" style="1" customWidth="1"/>
    <col min="10742" max="10751" width="0" style="1" hidden="1" customWidth="1"/>
    <col min="10752" max="10753" width="1" style="1" customWidth="1"/>
    <col min="10754" max="10754" width="17.85546875" style="1" customWidth="1"/>
    <col min="10755" max="10758" width="1" style="1" customWidth="1"/>
    <col min="10759" max="10759" width="17.85546875" style="1" customWidth="1"/>
    <col min="10760" max="10761" width="1" style="1" customWidth="1"/>
    <col min="10762" max="10806" width="0" style="1" hidden="1" customWidth="1"/>
    <col min="10807" max="10808" width="1" style="1" customWidth="1"/>
    <col min="10809" max="10809" width="17.85546875" style="1" customWidth="1"/>
    <col min="10810" max="10811" width="1" style="1" customWidth="1"/>
    <col min="10812" max="10821" width="0" style="1" hidden="1" customWidth="1"/>
    <col min="10822" max="10823" width="1" style="1" customWidth="1"/>
    <col min="10824" max="10824" width="14.42578125" style="1" customWidth="1"/>
    <col min="10825" max="10826" width="1" style="1" customWidth="1"/>
    <col min="10827" max="10827" width="2" style="1" customWidth="1"/>
    <col min="10828" max="10828" width="3.85546875" style="1" customWidth="1"/>
    <col min="10829" max="10829" width="15.7109375" style="1" customWidth="1"/>
    <col min="10830" max="10830" width="13.42578125" style="1" bestFit="1" customWidth="1"/>
    <col min="10831" max="10831" width="13.85546875" style="1" customWidth="1"/>
    <col min="10832" max="10832" width="13.42578125" style="1" bestFit="1" customWidth="1"/>
    <col min="10833" max="10938" width="10" style="1"/>
    <col min="10939" max="10940" width="0" style="1" hidden="1" customWidth="1"/>
    <col min="10941" max="10941" width="1" style="1" customWidth="1"/>
    <col min="10942" max="10942" width="56" style="1" customWidth="1"/>
    <col min="10943" max="10944" width="1" style="1" customWidth="1"/>
    <col min="10945" max="10945" width="14.42578125" style="1" customWidth="1"/>
    <col min="10946" max="10947" width="1" style="1" customWidth="1"/>
    <col min="10948" max="10992" width="0" style="1" hidden="1" customWidth="1"/>
    <col min="10993" max="10994" width="1" style="1" customWidth="1"/>
    <col min="10995" max="10995" width="17.85546875" style="1" customWidth="1"/>
    <col min="10996" max="10997" width="1" style="1" customWidth="1"/>
    <col min="10998" max="11007" width="0" style="1" hidden="1" customWidth="1"/>
    <col min="11008" max="11009" width="1" style="1" customWidth="1"/>
    <col min="11010" max="11010" width="17.85546875" style="1" customWidth="1"/>
    <col min="11011" max="11014" width="1" style="1" customWidth="1"/>
    <col min="11015" max="11015" width="17.85546875" style="1" customWidth="1"/>
    <col min="11016" max="11017" width="1" style="1" customWidth="1"/>
    <col min="11018" max="11062" width="0" style="1" hidden="1" customWidth="1"/>
    <col min="11063" max="11064" width="1" style="1" customWidth="1"/>
    <col min="11065" max="11065" width="17.85546875" style="1" customWidth="1"/>
    <col min="11066" max="11067" width="1" style="1" customWidth="1"/>
    <col min="11068" max="11077" width="0" style="1" hidden="1" customWidth="1"/>
    <col min="11078" max="11079" width="1" style="1" customWidth="1"/>
    <col min="11080" max="11080" width="14.42578125" style="1" customWidth="1"/>
    <col min="11081" max="11082" width="1" style="1" customWidth="1"/>
    <col min="11083" max="11083" width="2" style="1" customWidth="1"/>
    <col min="11084" max="11084" width="3.85546875" style="1" customWidth="1"/>
    <col min="11085" max="11085" width="15.7109375" style="1" customWidth="1"/>
    <col min="11086" max="11086" width="13.42578125" style="1" bestFit="1" customWidth="1"/>
    <col min="11087" max="11087" width="13.85546875" style="1" customWidth="1"/>
    <col min="11088" max="11088" width="13.42578125" style="1" bestFit="1" customWidth="1"/>
    <col min="11089" max="11194" width="10" style="1"/>
    <col min="11195" max="11196" width="0" style="1" hidden="1" customWidth="1"/>
    <col min="11197" max="11197" width="1" style="1" customWidth="1"/>
    <col min="11198" max="11198" width="56" style="1" customWidth="1"/>
    <col min="11199" max="11200" width="1" style="1" customWidth="1"/>
    <col min="11201" max="11201" width="14.42578125" style="1" customWidth="1"/>
    <col min="11202" max="11203" width="1" style="1" customWidth="1"/>
    <col min="11204" max="11248" width="0" style="1" hidden="1" customWidth="1"/>
    <col min="11249" max="11250" width="1" style="1" customWidth="1"/>
    <col min="11251" max="11251" width="17.85546875" style="1" customWidth="1"/>
    <col min="11252" max="11253" width="1" style="1" customWidth="1"/>
    <col min="11254" max="11263" width="0" style="1" hidden="1" customWidth="1"/>
    <col min="11264" max="11265" width="1" style="1" customWidth="1"/>
    <col min="11266" max="11266" width="17.85546875" style="1" customWidth="1"/>
    <col min="11267" max="11270" width="1" style="1" customWidth="1"/>
    <col min="11271" max="11271" width="17.85546875" style="1" customWidth="1"/>
    <col min="11272" max="11273" width="1" style="1" customWidth="1"/>
    <col min="11274" max="11318" width="0" style="1" hidden="1" customWidth="1"/>
    <col min="11319" max="11320" width="1" style="1" customWidth="1"/>
    <col min="11321" max="11321" width="17.85546875" style="1" customWidth="1"/>
    <col min="11322" max="11323" width="1" style="1" customWidth="1"/>
    <col min="11324" max="11333" width="0" style="1" hidden="1" customWidth="1"/>
    <col min="11334" max="11335" width="1" style="1" customWidth="1"/>
    <col min="11336" max="11336" width="14.42578125" style="1" customWidth="1"/>
    <col min="11337" max="11338" width="1" style="1" customWidth="1"/>
    <col min="11339" max="11339" width="2" style="1" customWidth="1"/>
    <col min="11340" max="11340" width="3.85546875" style="1" customWidth="1"/>
    <col min="11341" max="11341" width="15.7109375" style="1" customWidth="1"/>
    <col min="11342" max="11342" width="13.42578125" style="1" bestFit="1" customWidth="1"/>
    <col min="11343" max="11343" width="13.85546875" style="1" customWidth="1"/>
    <col min="11344" max="11344" width="13.42578125" style="1" bestFit="1" customWidth="1"/>
    <col min="11345" max="11450" width="10" style="1"/>
    <col min="11451" max="11452" width="0" style="1" hidden="1" customWidth="1"/>
    <col min="11453" max="11453" width="1" style="1" customWidth="1"/>
    <col min="11454" max="11454" width="56" style="1" customWidth="1"/>
    <col min="11455" max="11456" width="1" style="1" customWidth="1"/>
    <col min="11457" max="11457" width="14.42578125" style="1" customWidth="1"/>
    <col min="11458" max="11459" width="1" style="1" customWidth="1"/>
    <col min="11460" max="11504" width="0" style="1" hidden="1" customWidth="1"/>
    <col min="11505" max="11506" width="1" style="1" customWidth="1"/>
    <col min="11507" max="11507" width="17.85546875" style="1" customWidth="1"/>
    <col min="11508" max="11509" width="1" style="1" customWidth="1"/>
    <col min="11510" max="11519" width="0" style="1" hidden="1" customWidth="1"/>
    <col min="11520" max="11521" width="1" style="1" customWidth="1"/>
    <col min="11522" max="11522" width="17.85546875" style="1" customWidth="1"/>
    <col min="11523" max="11526" width="1" style="1" customWidth="1"/>
    <col min="11527" max="11527" width="17.85546875" style="1" customWidth="1"/>
    <col min="11528" max="11529" width="1" style="1" customWidth="1"/>
    <col min="11530" max="11574" width="0" style="1" hidden="1" customWidth="1"/>
    <col min="11575" max="11576" width="1" style="1" customWidth="1"/>
    <col min="11577" max="11577" width="17.85546875" style="1" customWidth="1"/>
    <col min="11578" max="11579" width="1" style="1" customWidth="1"/>
    <col min="11580" max="11589" width="0" style="1" hidden="1" customWidth="1"/>
    <col min="11590" max="11591" width="1" style="1" customWidth="1"/>
    <col min="11592" max="11592" width="14.42578125" style="1" customWidth="1"/>
    <col min="11593" max="11594" width="1" style="1" customWidth="1"/>
    <col min="11595" max="11595" width="2" style="1" customWidth="1"/>
    <col min="11596" max="11596" width="3.85546875" style="1" customWidth="1"/>
    <col min="11597" max="11597" width="15.7109375" style="1" customWidth="1"/>
    <col min="11598" max="11598" width="13.42578125" style="1" bestFit="1" customWidth="1"/>
    <col min="11599" max="11599" width="13.85546875" style="1" customWidth="1"/>
    <col min="11600" max="11600" width="13.42578125" style="1" bestFit="1" customWidth="1"/>
    <col min="11601" max="11706" width="10" style="1"/>
    <col min="11707" max="11708" width="0" style="1" hidden="1" customWidth="1"/>
    <col min="11709" max="11709" width="1" style="1" customWidth="1"/>
    <col min="11710" max="11710" width="56" style="1" customWidth="1"/>
    <col min="11711" max="11712" width="1" style="1" customWidth="1"/>
    <col min="11713" max="11713" width="14.42578125" style="1" customWidth="1"/>
    <col min="11714" max="11715" width="1" style="1" customWidth="1"/>
    <col min="11716" max="11760" width="0" style="1" hidden="1" customWidth="1"/>
    <col min="11761" max="11762" width="1" style="1" customWidth="1"/>
    <col min="11763" max="11763" width="17.85546875" style="1" customWidth="1"/>
    <col min="11764" max="11765" width="1" style="1" customWidth="1"/>
    <col min="11766" max="11775" width="0" style="1" hidden="1" customWidth="1"/>
    <col min="11776" max="11777" width="1" style="1" customWidth="1"/>
    <col min="11778" max="11778" width="17.85546875" style="1" customWidth="1"/>
    <col min="11779" max="11782" width="1" style="1" customWidth="1"/>
    <col min="11783" max="11783" width="17.85546875" style="1" customWidth="1"/>
    <col min="11784" max="11785" width="1" style="1" customWidth="1"/>
    <col min="11786" max="11830" width="0" style="1" hidden="1" customWidth="1"/>
    <col min="11831" max="11832" width="1" style="1" customWidth="1"/>
    <col min="11833" max="11833" width="17.85546875" style="1" customWidth="1"/>
    <col min="11834" max="11835" width="1" style="1" customWidth="1"/>
    <col min="11836" max="11845" width="0" style="1" hidden="1" customWidth="1"/>
    <col min="11846" max="11847" width="1" style="1" customWidth="1"/>
    <col min="11848" max="11848" width="14.42578125" style="1" customWidth="1"/>
    <col min="11849" max="11850" width="1" style="1" customWidth="1"/>
    <col min="11851" max="11851" width="2" style="1" customWidth="1"/>
    <col min="11852" max="11852" width="3.85546875" style="1" customWidth="1"/>
    <col min="11853" max="11853" width="15.7109375" style="1" customWidth="1"/>
    <col min="11854" max="11854" width="13.42578125" style="1" bestFit="1" customWidth="1"/>
    <col min="11855" max="11855" width="13.85546875" style="1" customWidth="1"/>
    <col min="11856" max="11856" width="13.42578125" style="1" bestFit="1" customWidth="1"/>
    <col min="11857" max="11962" width="10" style="1"/>
    <col min="11963" max="11964" width="0" style="1" hidden="1" customWidth="1"/>
    <col min="11965" max="11965" width="1" style="1" customWidth="1"/>
    <col min="11966" max="11966" width="56" style="1" customWidth="1"/>
    <col min="11967" max="11968" width="1" style="1" customWidth="1"/>
    <col min="11969" max="11969" width="14.42578125" style="1" customWidth="1"/>
    <col min="11970" max="11971" width="1" style="1" customWidth="1"/>
    <col min="11972" max="12016" width="0" style="1" hidden="1" customWidth="1"/>
    <col min="12017" max="12018" width="1" style="1" customWidth="1"/>
    <col min="12019" max="12019" width="17.85546875" style="1" customWidth="1"/>
    <col min="12020" max="12021" width="1" style="1" customWidth="1"/>
    <col min="12022" max="12031" width="0" style="1" hidden="1" customWidth="1"/>
    <col min="12032" max="12033" width="1" style="1" customWidth="1"/>
    <col min="12034" max="12034" width="17.85546875" style="1" customWidth="1"/>
    <col min="12035" max="12038" width="1" style="1" customWidth="1"/>
    <col min="12039" max="12039" width="17.85546875" style="1" customWidth="1"/>
    <col min="12040" max="12041" width="1" style="1" customWidth="1"/>
    <col min="12042" max="12086" width="0" style="1" hidden="1" customWidth="1"/>
    <col min="12087" max="12088" width="1" style="1" customWidth="1"/>
    <col min="12089" max="12089" width="17.85546875" style="1" customWidth="1"/>
    <col min="12090" max="12091" width="1" style="1" customWidth="1"/>
    <col min="12092" max="12101" width="0" style="1" hidden="1" customWidth="1"/>
    <col min="12102" max="12103" width="1" style="1" customWidth="1"/>
    <col min="12104" max="12104" width="14.42578125" style="1" customWidth="1"/>
    <col min="12105" max="12106" width="1" style="1" customWidth="1"/>
    <col min="12107" max="12107" width="2" style="1" customWidth="1"/>
    <col min="12108" max="12108" width="3.85546875" style="1" customWidth="1"/>
    <col min="12109" max="12109" width="15.7109375" style="1" customWidth="1"/>
    <col min="12110" max="12110" width="13.42578125" style="1" bestFit="1" customWidth="1"/>
    <col min="12111" max="12111" width="13.85546875" style="1" customWidth="1"/>
    <col min="12112" max="12112" width="13.42578125" style="1" bestFit="1" customWidth="1"/>
    <col min="12113" max="12218" width="10" style="1"/>
    <col min="12219" max="12220" width="0" style="1" hidden="1" customWidth="1"/>
    <col min="12221" max="12221" width="1" style="1" customWidth="1"/>
    <col min="12222" max="12222" width="56" style="1" customWidth="1"/>
    <col min="12223" max="12224" width="1" style="1" customWidth="1"/>
    <col min="12225" max="12225" width="14.42578125" style="1" customWidth="1"/>
    <col min="12226" max="12227" width="1" style="1" customWidth="1"/>
    <col min="12228" max="12272" width="0" style="1" hidden="1" customWidth="1"/>
    <col min="12273" max="12274" width="1" style="1" customWidth="1"/>
    <col min="12275" max="12275" width="17.85546875" style="1" customWidth="1"/>
    <col min="12276" max="12277" width="1" style="1" customWidth="1"/>
    <col min="12278" max="12287" width="0" style="1" hidden="1" customWidth="1"/>
    <col min="12288" max="12289" width="1" style="1" customWidth="1"/>
    <col min="12290" max="12290" width="17.85546875" style="1" customWidth="1"/>
    <col min="12291" max="12294" width="1" style="1" customWidth="1"/>
    <col min="12295" max="12295" width="17.85546875" style="1" customWidth="1"/>
    <col min="12296" max="12297" width="1" style="1" customWidth="1"/>
    <col min="12298" max="12342" width="0" style="1" hidden="1" customWidth="1"/>
    <col min="12343" max="12344" width="1" style="1" customWidth="1"/>
    <col min="12345" max="12345" width="17.85546875" style="1" customWidth="1"/>
    <col min="12346" max="12347" width="1" style="1" customWidth="1"/>
    <col min="12348" max="12357" width="0" style="1" hidden="1" customWidth="1"/>
    <col min="12358" max="12359" width="1" style="1" customWidth="1"/>
    <col min="12360" max="12360" width="14.42578125" style="1" customWidth="1"/>
    <col min="12361" max="12362" width="1" style="1" customWidth="1"/>
    <col min="12363" max="12363" width="2" style="1" customWidth="1"/>
    <col min="12364" max="12364" width="3.85546875" style="1" customWidth="1"/>
    <col min="12365" max="12365" width="15.7109375" style="1" customWidth="1"/>
    <col min="12366" max="12366" width="13.42578125" style="1" bestFit="1" customWidth="1"/>
    <col min="12367" max="12367" width="13.85546875" style="1" customWidth="1"/>
    <col min="12368" max="12368" width="13.42578125" style="1" bestFit="1" customWidth="1"/>
    <col min="12369" max="12474" width="10" style="1"/>
    <col min="12475" max="12476" width="0" style="1" hidden="1" customWidth="1"/>
    <col min="12477" max="12477" width="1" style="1" customWidth="1"/>
    <col min="12478" max="12478" width="56" style="1" customWidth="1"/>
    <col min="12479" max="12480" width="1" style="1" customWidth="1"/>
    <col min="12481" max="12481" width="14.42578125" style="1" customWidth="1"/>
    <col min="12482" max="12483" width="1" style="1" customWidth="1"/>
    <col min="12484" max="12528" width="0" style="1" hidden="1" customWidth="1"/>
    <col min="12529" max="12530" width="1" style="1" customWidth="1"/>
    <col min="12531" max="12531" width="17.85546875" style="1" customWidth="1"/>
    <col min="12532" max="12533" width="1" style="1" customWidth="1"/>
    <col min="12534" max="12543" width="0" style="1" hidden="1" customWidth="1"/>
    <col min="12544" max="12545" width="1" style="1" customWidth="1"/>
    <col min="12546" max="12546" width="17.85546875" style="1" customWidth="1"/>
    <col min="12547" max="12550" width="1" style="1" customWidth="1"/>
    <col min="12551" max="12551" width="17.85546875" style="1" customWidth="1"/>
    <col min="12552" max="12553" width="1" style="1" customWidth="1"/>
    <col min="12554" max="12598" width="0" style="1" hidden="1" customWidth="1"/>
    <col min="12599" max="12600" width="1" style="1" customWidth="1"/>
    <col min="12601" max="12601" width="17.85546875" style="1" customWidth="1"/>
    <col min="12602" max="12603" width="1" style="1" customWidth="1"/>
    <col min="12604" max="12613" width="0" style="1" hidden="1" customWidth="1"/>
    <col min="12614" max="12615" width="1" style="1" customWidth="1"/>
    <col min="12616" max="12616" width="14.42578125" style="1" customWidth="1"/>
    <col min="12617" max="12618" width="1" style="1" customWidth="1"/>
    <col min="12619" max="12619" width="2" style="1" customWidth="1"/>
    <col min="12620" max="12620" width="3.85546875" style="1" customWidth="1"/>
    <col min="12621" max="12621" width="15.7109375" style="1" customWidth="1"/>
    <col min="12622" max="12622" width="13.42578125" style="1" bestFit="1" customWidth="1"/>
    <col min="12623" max="12623" width="13.85546875" style="1" customWidth="1"/>
    <col min="12624" max="12624" width="13.42578125" style="1" bestFit="1" customWidth="1"/>
    <col min="12625" max="12730" width="10" style="1"/>
    <col min="12731" max="12732" width="0" style="1" hidden="1" customWidth="1"/>
    <col min="12733" max="12733" width="1" style="1" customWidth="1"/>
    <col min="12734" max="12734" width="56" style="1" customWidth="1"/>
    <col min="12735" max="12736" width="1" style="1" customWidth="1"/>
    <col min="12737" max="12737" width="14.42578125" style="1" customWidth="1"/>
    <col min="12738" max="12739" width="1" style="1" customWidth="1"/>
    <col min="12740" max="12784" width="0" style="1" hidden="1" customWidth="1"/>
    <col min="12785" max="12786" width="1" style="1" customWidth="1"/>
    <col min="12787" max="12787" width="17.85546875" style="1" customWidth="1"/>
    <col min="12788" max="12789" width="1" style="1" customWidth="1"/>
    <col min="12790" max="12799" width="0" style="1" hidden="1" customWidth="1"/>
    <col min="12800" max="12801" width="1" style="1" customWidth="1"/>
    <col min="12802" max="12802" width="17.85546875" style="1" customWidth="1"/>
    <col min="12803" max="12806" width="1" style="1" customWidth="1"/>
    <col min="12807" max="12807" width="17.85546875" style="1" customWidth="1"/>
    <col min="12808" max="12809" width="1" style="1" customWidth="1"/>
    <col min="12810" max="12854" width="0" style="1" hidden="1" customWidth="1"/>
    <col min="12855" max="12856" width="1" style="1" customWidth="1"/>
    <col min="12857" max="12857" width="17.85546875" style="1" customWidth="1"/>
    <col min="12858" max="12859" width="1" style="1" customWidth="1"/>
    <col min="12860" max="12869" width="0" style="1" hidden="1" customWidth="1"/>
    <col min="12870" max="12871" width="1" style="1" customWidth="1"/>
    <col min="12872" max="12872" width="14.42578125" style="1" customWidth="1"/>
    <col min="12873" max="12874" width="1" style="1" customWidth="1"/>
    <col min="12875" max="12875" width="2" style="1" customWidth="1"/>
    <col min="12876" max="12876" width="3.85546875" style="1" customWidth="1"/>
    <col min="12877" max="12877" width="15.7109375" style="1" customWidth="1"/>
    <col min="12878" max="12878" width="13.42578125" style="1" bestFit="1" customWidth="1"/>
    <col min="12879" max="12879" width="13.85546875" style="1" customWidth="1"/>
    <col min="12880" max="12880" width="13.42578125" style="1" bestFit="1" customWidth="1"/>
    <col min="12881" max="12986" width="10" style="1"/>
    <col min="12987" max="12988" width="0" style="1" hidden="1" customWidth="1"/>
    <col min="12989" max="12989" width="1" style="1" customWidth="1"/>
    <col min="12990" max="12990" width="56" style="1" customWidth="1"/>
    <col min="12991" max="12992" width="1" style="1" customWidth="1"/>
    <col min="12993" max="12993" width="14.42578125" style="1" customWidth="1"/>
    <col min="12994" max="12995" width="1" style="1" customWidth="1"/>
    <col min="12996" max="13040" width="0" style="1" hidden="1" customWidth="1"/>
    <col min="13041" max="13042" width="1" style="1" customWidth="1"/>
    <col min="13043" max="13043" width="17.85546875" style="1" customWidth="1"/>
    <col min="13044" max="13045" width="1" style="1" customWidth="1"/>
    <col min="13046" max="13055" width="0" style="1" hidden="1" customWidth="1"/>
    <col min="13056" max="13057" width="1" style="1" customWidth="1"/>
    <col min="13058" max="13058" width="17.85546875" style="1" customWidth="1"/>
    <col min="13059" max="13062" width="1" style="1" customWidth="1"/>
    <col min="13063" max="13063" width="17.85546875" style="1" customWidth="1"/>
    <col min="13064" max="13065" width="1" style="1" customWidth="1"/>
    <col min="13066" max="13110" width="0" style="1" hidden="1" customWidth="1"/>
    <col min="13111" max="13112" width="1" style="1" customWidth="1"/>
    <col min="13113" max="13113" width="17.85546875" style="1" customWidth="1"/>
    <col min="13114" max="13115" width="1" style="1" customWidth="1"/>
    <col min="13116" max="13125" width="0" style="1" hidden="1" customWidth="1"/>
    <col min="13126" max="13127" width="1" style="1" customWidth="1"/>
    <col min="13128" max="13128" width="14.42578125" style="1" customWidth="1"/>
    <col min="13129" max="13130" width="1" style="1" customWidth="1"/>
    <col min="13131" max="13131" width="2" style="1" customWidth="1"/>
    <col min="13132" max="13132" width="3.85546875" style="1" customWidth="1"/>
    <col min="13133" max="13133" width="15.7109375" style="1" customWidth="1"/>
    <col min="13134" max="13134" width="13.42578125" style="1" bestFit="1" customWidth="1"/>
    <col min="13135" max="13135" width="13.85546875" style="1" customWidth="1"/>
    <col min="13136" max="13136" width="13.42578125" style="1" bestFit="1" customWidth="1"/>
    <col min="13137" max="13242" width="10" style="1"/>
    <col min="13243" max="13244" width="0" style="1" hidden="1" customWidth="1"/>
    <col min="13245" max="13245" width="1" style="1" customWidth="1"/>
    <col min="13246" max="13246" width="56" style="1" customWidth="1"/>
    <col min="13247" max="13248" width="1" style="1" customWidth="1"/>
    <col min="13249" max="13249" width="14.42578125" style="1" customWidth="1"/>
    <col min="13250" max="13251" width="1" style="1" customWidth="1"/>
    <col min="13252" max="13296" width="0" style="1" hidden="1" customWidth="1"/>
    <col min="13297" max="13298" width="1" style="1" customWidth="1"/>
    <col min="13299" max="13299" width="17.85546875" style="1" customWidth="1"/>
    <col min="13300" max="13301" width="1" style="1" customWidth="1"/>
    <col min="13302" max="13311" width="0" style="1" hidden="1" customWidth="1"/>
    <col min="13312" max="13313" width="1" style="1" customWidth="1"/>
    <col min="13314" max="13314" width="17.85546875" style="1" customWidth="1"/>
    <col min="13315" max="13318" width="1" style="1" customWidth="1"/>
    <col min="13319" max="13319" width="17.85546875" style="1" customWidth="1"/>
    <col min="13320" max="13321" width="1" style="1" customWidth="1"/>
    <col min="13322" max="13366" width="0" style="1" hidden="1" customWidth="1"/>
    <col min="13367" max="13368" width="1" style="1" customWidth="1"/>
    <col min="13369" max="13369" width="17.85546875" style="1" customWidth="1"/>
    <col min="13370" max="13371" width="1" style="1" customWidth="1"/>
    <col min="13372" max="13381" width="0" style="1" hidden="1" customWidth="1"/>
    <col min="13382" max="13383" width="1" style="1" customWidth="1"/>
    <col min="13384" max="13384" width="14.42578125" style="1" customWidth="1"/>
    <col min="13385" max="13386" width="1" style="1" customWidth="1"/>
    <col min="13387" max="13387" width="2" style="1" customWidth="1"/>
    <col min="13388" max="13388" width="3.85546875" style="1" customWidth="1"/>
    <col min="13389" max="13389" width="15.7109375" style="1" customWidth="1"/>
    <col min="13390" max="13390" width="13.42578125" style="1" bestFit="1" customWidth="1"/>
    <col min="13391" max="13391" width="13.85546875" style="1" customWidth="1"/>
    <col min="13392" max="13392" width="13.42578125" style="1" bestFit="1" customWidth="1"/>
    <col min="13393" max="13498" width="10" style="1"/>
    <col min="13499" max="13500" width="0" style="1" hidden="1" customWidth="1"/>
    <col min="13501" max="13501" width="1" style="1" customWidth="1"/>
    <col min="13502" max="13502" width="56" style="1" customWidth="1"/>
    <col min="13503" max="13504" width="1" style="1" customWidth="1"/>
    <col min="13505" max="13505" width="14.42578125" style="1" customWidth="1"/>
    <col min="13506" max="13507" width="1" style="1" customWidth="1"/>
    <col min="13508" max="13552" width="0" style="1" hidden="1" customWidth="1"/>
    <col min="13553" max="13554" width="1" style="1" customWidth="1"/>
    <col min="13555" max="13555" width="17.85546875" style="1" customWidth="1"/>
    <col min="13556" max="13557" width="1" style="1" customWidth="1"/>
    <col min="13558" max="13567" width="0" style="1" hidden="1" customWidth="1"/>
    <col min="13568" max="13569" width="1" style="1" customWidth="1"/>
    <col min="13570" max="13570" width="17.85546875" style="1" customWidth="1"/>
    <col min="13571" max="13574" width="1" style="1" customWidth="1"/>
    <col min="13575" max="13575" width="17.85546875" style="1" customWidth="1"/>
    <col min="13576" max="13577" width="1" style="1" customWidth="1"/>
    <col min="13578" max="13622" width="0" style="1" hidden="1" customWidth="1"/>
    <col min="13623" max="13624" width="1" style="1" customWidth="1"/>
    <col min="13625" max="13625" width="17.85546875" style="1" customWidth="1"/>
    <col min="13626" max="13627" width="1" style="1" customWidth="1"/>
    <col min="13628" max="13637" width="0" style="1" hidden="1" customWidth="1"/>
    <col min="13638" max="13639" width="1" style="1" customWidth="1"/>
    <col min="13640" max="13640" width="14.42578125" style="1" customWidth="1"/>
    <col min="13641" max="13642" width="1" style="1" customWidth="1"/>
    <col min="13643" max="13643" width="2" style="1" customWidth="1"/>
    <col min="13644" max="13644" width="3.85546875" style="1" customWidth="1"/>
    <col min="13645" max="13645" width="15.7109375" style="1" customWidth="1"/>
    <col min="13646" max="13646" width="13.42578125" style="1" bestFit="1" customWidth="1"/>
    <col min="13647" max="13647" width="13.85546875" style="1" customWidth="1"/>
    <col min="13648" max="13648" width="13.42578125" style="1" bestFit="1" customWidth="1"/>
    <col min="13649" max="13754" width="10" style="1"/>
    <col min="13755" max="13756" width="0" style="1" hidden="1" customWidth="1"/>
    <col min="13757" max="13757" width="1" style="1" customWidth="1"/>
    <col min="13758" max="13758" width="56" style="1" customWidth="1"/>
    <col min="13759" max="13760" width="1" style="1" customWidth="1"/>
    <col min="13761" max="13761" width="14.42578125" style="1" customWidth="1"/>
    <col min="13762" max="13763" width="1" style="1" customWidth="1"/>
    <col min="13764" max="13808" width="0" style="1" hidden="1" customWidth="1"/>
    <col min="13809" max="13810" width="1" style="1" customWidth="1"/>
    <col min="13811" max="13811" width="17.85546875" style="1" customWidth="1"/>
    <col min="13812" max="13813" width="1" style="1" customWidth="1"/>
    <col min="13814" max="13823" width="0" style="1" hidden="1" customWidth="1"/>
    <col min="13824" max="13825" width="1" style="1" customWidth="1"/>
    <col min="13826" max="13826" width="17.85546875" style="1" customWidth="1"/>
    <col min="13827" max="13830" width="1" style="1" customWidth="1"/>
    <col min="13831" max="13831" width="17.85546875" style="1" customWidth="1"/>
    <col min="13832" max="13833" width="1" style="1" customWidth="1"/>
    <col min="13834" max="13878" width="0" style="1" hidden="1" customWidth="1"/>
    <col min="13879" max="13880" width="1" style="1" customWidth="1"/>
    <col min="13881" max="13881" width="17.85546875" style="1" customWidth="1"/>
    <col min="13882" max="13883" width="1" style="1" customWidth="1"/>
    <col min="13884" max="13893" width="0" style="1" hidden="1" customWidth="1"/>
    <col min="13894" max="13895" width="1" style="1" customWidth="1"/>
    <col min="13896" max="13896" width="14.42578125" style="1" customWidth="1"/>
    <col min="13897" max="13898" width="1" style="1" customWidth="1"/>
    <col min="13899" max="13899" width="2" style="1" customWidth="1"/>
    <col min="13900" max="13900" width="3.85546875" style="1" customWidth="1"/>
    <col min="13901" max="13901" width="15.7109375" style="1" customWidth="1"/>
    <col min="13902" max="13902" width="13.42578125" style="1" bestFit="1" customWidth="1"/>
    <col min="13903" max="13903" width="13.85546875" style="1" customWidth="1"/>
    <col min="13904" max="13904" width="13.42578125" style="1" bestFit="1" customWidth="1"/>
    <col min="13905" max="14010" width="10" style="1"/>
    <col min="14011" max="14012" width="0" style="1" hidden="1" customWidth="1"/>
    <col min="14013" max="14013" width="1" style="1" customWidth="1"/>
    <col min="14014" max="14014" width="56" style="1" customWidth="1"/>
    <col min="14015" max="14016" width="1" style="1" customWidth="1"/>
    <col min="14017" max="14017" width="14.42578125" style="1" customWidth="1"/>
    <col min="14018" max="14019" width="1" style="1" customWidth="1"/>
    <col min="14020" max="14064" width="0" style="1" hidden="1" customWidth="1"/>
    <col min="14065" max="14066" width="1" style="1" customWidth="1"/>
    <col min="14067" max="14067" width="17.85546875" style="1" customWidth="1"/>
    <col min="14068" max="14069" width="1" style="1" customWidth="1"/>
    <col min="14070" max="14079" width="0" style="1" hidden="1" customWidth="1"/>
    <col min="14080" max="14081" width="1" style="1" customWidth="1"/>
    <col min="14082" max="14082" width="17.85546875" style="1" customWidth="1"/>
    <col min="14083" max="14086" width="1" style="1" customWidth="1"/>
    <col min="14087" max="14087" width="17.85546875" style="1" customWidth="1"/>
    <col min="14088" max="14089" width="1" style="1" customWidth="1"/>
    <col min="14090" max="14134" width="0" style="1" hidden="1" customWidth="1"/>
    <col min="14135" max="14136" width="1" style="1" customWidth="1"/>
    <col min="14137" max="14137" width="17.85546875" style="1" customWidth="1"/>
    <col min="14138" max="14139" width="1" style="1" customWidth="1"/>
    <col min="14140" max="14149" width="0" style="1" hidden="1" customWidth="1"/>
    <col min="14150" max="14151" width="1" style="1" customWidth="1"/>
    <col min="14152" max="14152" width="14.42578125" style="1" customWidth="1"/>
    <col min="14153" max="14154" width="1" style="1" customWidth="1"/>
    <col min="14155" max="14155" width="2" style="1" customWidth="1"/>
    <col min="14156" max="14156" width="3.85546875" style="1" customWidth="1"/>
    <col min="14157" max="14157" width="15.7109375" style="1" customWidth="1"/>
    <col min="14158" max="14158" width="13.42578125" style="1" bestFit="1" customWidth="1"/>
    <col min="14159" max="14159" width="13.85546875" style="1" customWidth="1"/>
    <col min="14160" max="14160" width="13.42578125" style="1" bestFit="1" customWidth="1"/>
    <col min="14161" max="14266" width="10" style="1"/>
    <col min="14267" max="14268" width="0" style="1" hidden="1" customWidth="1"/>
    <col min="14269" max="14269" width="1" style="1" customWidth="1"/>
    <col min="14270" max="14270" width="56" style="1" customWidth="1"/>
    <col min="14271" max="14272" width="1" style="1" customWidth="1"/>
    <col min="14273" max="14273" width="14.42578125" style="1" customWidth="1"/>
    <col min="14274" max="14275" width="1" style="1" customWidth="1"/>
    <col min="14276" max="14320" width="0" style="1" hidden="1" customWidth="1"/>
    <col min="14321" max="14322" width="1" style="1" customWidth="1"/>
    <col min="14323" max="14323" width="17.85546875" style="1" customWidth="1"/>
    <col min="14324" max="14325" width="1" style="1" customWidth="1"/>
    <col min="14326" max="14335" width="0" style="1" hidden="1" customWidth="1"/>
    <col min="14336" max="14337" width="1" style="1" customWidth="1"/>
    <col min="14338" max="14338" width="17.85546875" style="1" customWidth="1"/>
    <col min="14339" max="14342" width="1" style="1" customWidth="1"/>
    <col min="14343" max="14343" width="17.85546875" style="1" customWidth="1"/>
    <col min="14344" max="14345" width="1" style="1" customWidth="1"/>
    <col min="14346" max="14390" width="0" style="1" hidden="1" customWidth="1"/>
    <col min="14391" max="14392" width="1" style="1" customWidth="1"/>
    <col min="14393" max="14393" width="17.85546875" style="1" customWidth="1"/>
    <col min="14394" max="14395" width="1" style="1" customWidth="1"/>
    <col min="14396" max="14405" width="0" style="1" hidden="1" customWidth="1"/>
    <col min="14406" max="14407" width="1" style="1" customWidth="1"/>
    <col min="14408" max="14408" width="14.42578125" style="1" customWidth="1"/>
    <col min="14409" max="14410" width="1" style="1" customWidth="1"/>
    <col min="14411" max="14411" width="2" style="1" customWidth="1"/>
    <col min="14412" max="14412" width="3.85546875" style="1" customWidth="1"/>
    <col min="14413" max="14413" width="15.7109375" style="1" customWidth="1"/>
    <col min="14414" max="14414" width="13.42578125" style="1" bestFit="1" customWidth="1"/>
    <col min="14415" max="14415" width="13.85546875" style="1" customWidth="1"/>
    <col min="14416" max="14416" width="13.42578125" style="1" bestFit="1" customWidth="1"/>
    <col min="14417" max="14522" width="10" style="1"/>
    <col min="14523" max="14524" width="0" style="1" hidden="1" customWidth="1"/>
    <col min="14525" max="14525" width="1" style="1" customWidth="1"/>
    <col min="14526" max="14526" width="56" style="1" customWidth="1"/>
    <col min="14527" max="14528" width="1" style="1" customWidth="1"/>
    <col min="14529" max="14529" width="14.42578125" style="1" customWidth="1"/>
    <col min="14530" max="14531" width="1" style="1" customWidth="1"/>
    <col min="14532" max="14576" width="0" style="1" hidden="1" customWidth="1"/>
    <col min="14577" max="14578" width="1" style="1" customWidth="1"/>
    <col min="14579" max="14579" width="17.85546875" style="1" customWidth="1"/>
    <col min="14580" max="14581" width="1" style="1" customWidth="1"/>
    <col min="14582" max="14591" width="0" style="1" hidden="1" customWidth="1"/>
    <col min="14592" max="14593" width="1" style="1" customWidth="1"/>
    <col min="14594" max="14594" width="17.85546875" style="1" customWidth="1"/>
    <col min="14595" max="14598" width="1" style="1" customWidth="1"/>
    <col min="14599" max="14599" width="17.85546875" style="1" customWidth="1"/>
    <col min="14600" max="14601" width="1" style="1" customWidth="1"/>
    <col min="14602" max="14646" width="0" style="1" hidden="1" customWidth="1"/>
    <col min="14647" max="14648" width="1" style="1" customWidth="1"/>
    <col min="14649" max="14649" width="17.85546875" style="1" customWidth="1"/>
    <col min="14650" max="14651" width="1" style="1" customWidth="1"/>
    <col min="14652" max="14661" width="0" style="1" hidden="1" customWidth="1"/>
    <col min="14662" max="14663" width="1" style="1" customWidth="1"/>
    <col min="14664" max="14664" width="14.42578125" style="1" customWidth="1"/>
    <col min="14665" max="14666" width="1" style="1" customWidth="1"/>
    <col min="14667" max="14667" width="2" style="1" customWidth="1"/>
    <col min="14668" max="14668" width="3.85546875" style="1" customWidth="1"/>
    <col min="14669" max="14669" width="15.7109375" style="1" customWidth="1"/>
    <col min="14670" max="14670" width="13.42578125" style="1" bestFit="1" customWidth="1"/>
    <col min="14671" max="14671" width="13.85546875" style="1" customWidth="1"/>
    <col min="14672" max="14672" width="13.42578125" style="1" bestFit="1" customWidth="1"/>
    <col min="14673" max="14778" width="10" style="1"/>
    <col min="14779" max="14780" width="0" style="1" hidden="1" customWidth="1"/>
    <col min="14781" max="14781" width="1" style="1" customWidth="1"/>
    <col min="14782" max="14782" width="56" style="1" customWidth="1"/>
    <col min="14783" max="14784" width="1" style="1" customWidth="1"/>
    <col min="14785" max="14785" width="14.42578125" style="1" customWidth="1"/>
    <col min="14786" max="14787" width="1" style="1" customWidth="1"/>
    <col min="14788" max="14832" width="0" style="1" hidden="1" customWidth="1"/>
    <col min="14833" max="14834" width="1" style="1" customWidth="1"/>
    <col min="14835" max="14835" width="17.85546875" style="1" customWidth="1"/>
    <col min="14836" max="14837" width="1" style="1" customWidth="1"/>
    <col min="14838" max="14847" width="0" style="1" hidden="1" customWidth="1"/>
    <col min="14848" max="14849" width="1" style="1" customWidth="1"/>
    <col min="14850" max="14850" width="17.85546875" style="1" customWidth="1"/>
    <col min="14851" max="14854" width="1" style="1" customWidth="1"/>
    <col min="14855" max="14855" width="17.85546875" style="1" customWidth="1"/>
    <col min="14856" max="14857" width="1" style="1" customWidth="1"/>
    <col min="14858" max="14902" width="0" style="1" hidden="1" customWidth="1"/>
    <col min="14903" max="14904" width="1" style="1" customWidth="1"/>
    <col min="14905" max="14905" width="17.85546875" style="1" customWidth="1"/>
    <col min="14906" max="14907" width="1" style="1" customWidth="1"/>
    <col min="14908" max="14917" width="0" style="1" hidden="1" customWidth="1"/>
    <col min="14918" max="14919" width="1" style="1" customWidth="1"/>
    <col min="14920" max="14920" width="14.42578125" style="1" customWidth="1"/>
    <col min="14921" max="14922" width="1" style="1" customWidth="1"/>
    <col min="14923" max="14923" width="2" style="1" customWidth="1"/>
    <col min="14924" max="14924" width="3.85546875" style="1" customWidth="1"/>
    <col min="14925" max="14925" width="15.7109375" style="1" customWidth="1"/>
    <col min="14926" max="14926" width="13.42578125" style="1" bestFit="1" customWidth="1"/>
    <col min="14927" max="14927" width="13.85546875" style="1" customWidth="1"/>
    <col min="14928" max="14928" width="13.42578125" style="1" bestFit="1" customWidth="1"/>
    <col min="14929" max="15034" width="10" style="1"/>
    <col min="15035" max="15036" width="0" style="1" hidden="1" customWidth="1"/>
    <col min="15037" max="15037" width="1" style="1" customWidth="1"/>
    <col min="15038" max="15038" width="56" style="1" customWidth="1"/>
    <col min="15039" max="15040" width="1" style="1" customWidth="1"/>
    <col min="15041" max="15041" width="14.42578125" style="1" customWidth="1"/>
    <col min="15042" max="15043" width="1" style="1" customWidth="1"/>
    <col min="15044" max="15088" width="0" style="1" hidden="1" customWidth="1"/>
    <col min="15089" max="15090" width="1" style="1" customWidth="1"/>
    <col min="15091" max="15091" width="17.85546875" style="1" customWidth="1"/>
    <col min="15092" max="15093" width="1" style="1" customWidth="1"/>
    <col min="15094" max="15103" width="0" style="1" hidden="1" customWidth="1"/>
    <col min="15104" max="15105" width="1" style="1" customWidth="1"/>
    <col min="15106" max="15106" width="17.85546875" style="1" customWidth="1"/>
    <col min="15107" max="15110" width="1" style="1" customWidth="1"/>
    <col min="15111" max="15111" width="17.85546875" style="1" customWidth="1"/>
    <col min="15112" max="15113" width="1" style="1" customWidth="1"/>
    <col min="15114" max="15158" width="0" style="1" hidden="1" customWidth="1"/>
    <col min="15159" max="15160" width="1" style="1" customWidth="1"/>
    <col min="15161" max="15161" width="17.85546875" style="1" customWidth="1"/>
    <col min="15162" max="15163" width="1" style="1" customWidth="1"/>
    <col min="15164" max="15173" width="0" style="1" hidden="1" customWidth="1"/>
    <col min="15174" max="15175" width="1" style="1" customWidth="1"/>
    <col min="15176" max="15176" width="14.42578125" style="1" customWidth="1"/>
    <col min="15177" max="15178" width="1" style="1" customWidth="1"/>
    <col min="15179" max="15179" width="2" style="1" customWidth="1"/>
    <col min="15180" max="15180" width="3.85546875" style="1" customWidth="1"/>
    <col min="15181" max="15181" width="15.7109375" style="1" customWidth="1"/>
    <col min="15182" max="15182" width="13.42578125" style="1" bestFit="1" customWidth="1"/>
    <col min="15183" max="15183" width="13.85546875" style="1" customWidth="1"/>
    <col min="15184" max="15184" width="13.42578125" style="1" bestFit="1" customWidth="1"/>
    <col min="15185" max="15290" width="10" style="1"/>
    <col min="15291" max="15292" width="0" style="1" hidden="1" customWidth="1"/>
    <col min="15293" max="15293" width="1" style="1" customWidth="1"/>
    <col min="15294" max="15294" width="56" style="1" customWidth="1"/>
    <col min="15295" max="15296" width="1" style="1" customWidth="1"/>
    <col min="15297" max="15297" width="14.42578125" style="1" customWidth="1"/>
    <col min="15298" max="15299" width="1" style="1" customWidth="1"/>
    <col min="15300" max="15344" width="0" style="1" hidden="1" customWidth="1"/>
    <col min="15345" max="15346" width="1" style="1" customWidth="1"/>
    <col min="15347" max="15347" width="17.85546875" style="1" customWidth="1"/>
    <col min="15348" max="15349" width="1" style="1" customWidth="1"/>
    <col min="15350" max="15359" width="0" style="1" hidden="1" customWidth="1"/>
    <col min="15360" max="15361" width="1" style="1" customWidth="1"/>
    <col min="15362" max="15362" width="17.85546875" style="1" customWidth="1"/>
    <col min="15363" max="15366" width="1" style="1" customWidth="1"/>
    <col min="15367" max="15367" width="17.85546875" style="1" customWidth="1"/>
    <col min="15368" max="15369" width="1" style="1" customWidth="1"/>
    <col min="15370" max="15414" width="0" style="1" hidden="1" customWidth="1"/>
    <col min="15415" max="15416" width="1" style="1" customWidth="1"/>
    <col min="15417" max="15417" width="17.85546875" style="1" customWidth="1"/>
    <col min="15418" max="15419" width="1" style="1" customWidth="1"/>
    <col min="15420" max="15429" width="0" style="1" hidden="1" customWidth="1"/>
    <col min="15430" max="15431" width="1" style="1" customWidth="1"/>
    <col min="15432" max="15432" width="14.42578125" style="1" customWidth="1"/>
    <col min="15433" max="15434" width="1" style="1" customWidth="1"/>
    <col min="15435" max="15435" width="2" style="1" customWidth="1"/>
    <col min="15436" max="15436" width="3.85546875" style="1" customWidth="1"/>
    <col min="15437" max="15437" width="15.7109375" style="1" customWidth="1"/>
    <col min="15438" max="15438" width="13.42578125" style="1" bestFit="1" customWidth="1"/>
    <col min="15439" max="15439" width="13.85546875" style="1" customWidth="1"/>
    <col min="15440" max="15440" width="13.42578125" style="1" bestFit="1" customWidth="1"/>
    <col min="15441" max="15546" width="10" style="1"/>
    <col min="15547" max="15548" width="0" style="1" hidden="1" customWidth="1"/>
    <col min="15549" max="15549" width="1" style="1" customWidth="1"/>
    <col min="15550" max="15550" width="56" style="1" customWidth="1"/>
    <col min="15551" max="15552" width="1" style="1" customWidth="1"/>
    <col min="15553" max="15553" width="14.42578125" style="1" customWidth="1"/>
    <col min="15554" max="15555" width="1" style="1" customWidth="1"/>
    <col min="15556" max="15600" width="0" style="1" hidden="1" customWidth="1"/>
    <col min="15601" max="15602" width="1" style="1" customWidth="1"/>
    <col min="15603" max="15603" width="17.85546875" style="1" customWidth="1"/>
    <col min="15604" max="15605" width="1" style="1" customWidth="1"/>
    <col min="15606" max="15615" width="0" style="1" hidden="1" customWidth="1"/>
    <col min="15616" max="15617" width="1" style="1" customWidth="1"/>
    <col min="15618" max="15618" width="17.85546875" style="1" customWidth="1"/>
    <col min="15619" max="15622" width="1" style="1" customWidth="1"/>
    <col min="15623" max="15623" width="17.85546875" style="1" customWidth="1"/>
    <col min="15624" max="15625" width="1" style="1" customWidth="1"/>
    <col min="15626" max="15670" width="0" style="1" hidden="1" customWidth="1"/>
    <col min="15671" max="15672" width="1" style="1" customWidth="1"/>
    <col min="15673" max="15673" width="17.85546875" style="1" customWidth="1"/>
    <col min="15674" max="15675" width="1" style="1" customWidth="1"/>
    <col min="15676" max="15685" width="0" style="1" hidden="1" customWidth="1"/>
    <col min="15686" max="15687" width="1" style="1" customWidth="1"/>
    <col min="15688" max="15688" width="14.42578125" style="1" customWidth="1"/>
    <col min="15689" max="15690" width="1" style="1" customWidth="1"/>
    <col min="15691" max="15691" width="2" style="1" customWidth="1"/>
    <col min="15692" max="15692" width="3.85546875" style="1" customWidth="1"/>
    <col min="15693" max="15693" width="15.7109375" style="1" customWidth="1"/>
    <col min="15694" max="15694" width="13.42578125" style="1" bestFit="1" customWidth="1"/>
    <col min="15695" max="15695" width="13.85546875" style="1" customWidth="1"/>
    <col min="15696" max="15696" width="13.42578125" style="1" bestFit="1" customWidth="1"/>
    <col min="15697" max="15802" width="10" style="1"/>
    <col min="15803" max="15804" width="0" style="1" hidden="1" customWidth="1"/>
    <col min="15805" max="15805" width="1" style="1" customWidth="1"/>
    <col min="15806" max="15806" width="56" style="1" customWidth="1"/>
    <col min="15807" max="15808" width="1" style="1" customWidth="1"/>
    <col min="15809" max="15809" width="14.42578125" style="1" customWidth="1"/>
    <col min="15810" max="15811" width="1" style="1" customWidth="1"/>
    <col min="15812" max="15856" width="0" style="1" hidden="1" customWidth="1"/>
    <col min="15857" max="15858" width="1" style="1" customWidth="1"/>
    <col min="15859" max="15859" width="17.85546875" style="1" customWidth="1"/>
    <col min="15860" max="15861" width="1" style="1" customWidth="1"/>
    <col min="15862" max="15871" width="0" style="1" hidden="1" customWidth="1"/>
    <col min="15872" max="15873" width="1" style="1" customWidth="1"/>
    <col min="15874" max="15874" width="17.85546875" style="1" customWidth="1"/>
    <col min="15875" max="15878" width="1" style="1" customWidth="1"/>
    <col min="15879" max="15879" width="17.85546875" style="1" customWidth="1"/>
    <col min="15880" max="15881" width="1" style="1" customWidth="1"/>
    <col min="15882" max="15926" width="0" style="1" hidden="1" customWidth="1"/>
    <col min="15927" max="15928" width="1" style="1" customWidth="1"/>
    <col min="15929" max="15929" width="17.85546875" style="1" customWidth="1"/>
    <col min="15930" max="15931" width="1" style="1" customWidth="1"/>
    <col min="15932" max="15941" width="0" style="1" hidden="1" customWidth="1"/>
    <col min="15942" max="15943" width="1" style="1" customWidth="1"/>
    <col min="15944" max="15944" width="14.42578125" style="1" customWidth="1"/>
    <col min="15945" max="15946" width="1" style="1" customWidth="1"/>
    <col min="15947" max="15947" width="2" style="1" customWidth="1"/>
    <col min="15948" max="15948" width="3.85546875" style="1" customWidth="1"/>
    <col min="15949" max="15949" width="15.7109375" style="1" customWidth="1"/>
    <col min="15950" max="15950" width="13.42578125" style="1" bestFit="1" customWidth="1"/>
    <col min="15951" max="15951" width="13.85546875" style="1" customWidth="1"/>
    <col min="15952" max="15952" width="13.42578125" style="1" bestFit="1" customWidth="1"/>
    <col min="15953" max="16058" width="10" style="1"/>
    <col min="16059" max="16060" width="0" style="1" hidden="1" customWidth="1"/>
    <col min="16061" max="16061" width="1" style="1" customWidth="1"/>
    <col min="16062" max="16062" width="56" style="1" customWidth="1"/>
    <col min="16063" max="16064" width="1" style="1" customWidth="1"/>
    <col min="16065" max="16065" width="14.42578125" style="1" customWidth="1"/>
    <col min="16066" max="16067" width="1" style="1" customWidth="1"/>
    <col min="16068" max="16112" width="0" style="1" hidden="1" customWidth="1"/>
    <col min="16113" max="16114" width="1" style="1" customWidth="1"/>
    <col min="16115" max="16115" width="17.85546875" style="1" customWidth="1"/>
    <col min="16116" max="16117" width="1" style="1" customWidth="1"/>
    <col min="16118" max="16127" width="0" style="1" hidden="1" customWidth="1"/>
    <col min="16128" max="16129" width="1" style="1" customWidth="1"/>
    <col min="16130" max="16130" width="17.85546875" style="1" customWidth="1"/>
    <col min="16131" max="16134" width="1" style="1" customWidth="1"/>
    <col min="16135" max="16135" width="17.85546875" style="1" customWidth="1"/>
    <col min="16136" max="16137" width="1" style="1" customWidth="1"/>
    <col min="16138" max="16182" width="0" style="1" hidden="1" customWidth="1"/>
    <col min="16183" max="16184" width="1" style="1" customWidth="1"/>
    <col min="16185" max="16185" width="17.85546875" style="1" customWidth="1"/>
    <col min="16186" max="16187" width="1" style="1" customWidth="1"/>
    <col min="16188" max="16197" width="0" style="1" hidden="1" customWidth="1"/>
    <col min="16198" max="16199" width="1" style="1" customWidth="1"/>
    <col min="16200" max="16200" width="14.42578125" style="1" customWidth="1"/>
    <col min="16201" max="16202" width="1" style="1" customWidth="1"/>
    <col min="16203" max="16203" width="2" style="1" customWidth="1"/>
    <col min="16204" max="16204" width="3.85546875" style="1" customWidth="1"/>
    <col min="16205" max="16205" width="15.7109375" style="1" customWidth="1"/>
    <col min="16206" max="16206" width="13.42578125" style="1" bestFit="1" customWidth="1"/>
    <col min="16207" max="16207" width="13.85546875" style="1" customWidth="1"/>
    <col min="16208" max="16208" width="13.42578125" style="1" bestFit="1" customWidth="1"/>
    <col min="16209" max="16384" width="10" style="1"/>
  </cols>
  <sheetData>
    <row r="1" spans="4:80" ht="15.75" x14ac:dyDescent="0.25">
      <c r="D1" s="348" t="s">
        <v>332</v>
      </c>
      <c r="E1" s="348">
        <v>0</v>
      </c>
      <c r="F1" s="348"/>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row>
    <row r="2" spans="4:80" ht="15" customHeight="1" x14ac:dyDescent="0.2">
      <c r="D2" s="79"/>
      <c r="E2" s="349">
        <v>0</v>
      </c>
      <c r="F2" s="350"/>
      <c r="G2" s="298" t="str">
        <f>[54]summary!H8</f>
        <v>2020/21</v>
      </c>
      <c r="H2" s="298"/>
      <c r="I2" s="298"/>
      <c r="J2" s="298"/>
      <c r="K2" s="298"/>
      <c r="L2" s="298"/>
      <c r="M2" s="298"/>
      <c r="N2" s="298"/>
      <c r="O2" s="298"/>
      <c r="P2" s="298"/>
      <c r="Q2" s="298"/>
      <c r="R2" s="298"/>
      <c r="S2" s="298"/>
      <c r="T2" s="298"/>
      <c r="U2" s="298"/>
      <c r="V2" s="298"/>
      <c r="W2" s="298"/>
      <c r="X2" s="298"/>
      <c r="Y2" s="298"/>
      <c r="Z2" s="298"/>
      <c r="AA2" s="298"/>
      <c r="AB2" s="298"/>
      <c r="AC2" s="298"/>
      <c r="AD2" s="298"/>
      <c r="AE2" s="298"/>
      <c r="AF2" s="298"/>
      <c r="AG2" s="298"/>
      <c r="AH2" s="298"/>
      <c r="AI2" s="298"/>
      <c r="AJ2" s="298"/>
      <c r="AK2" s="298"/>
      <c r="AL2" s="298"/>
      <c r="AM2" s="298"/>
      <c r="AN2" s="298"/>
      <c r="AO2" s="298"/>
      <c r="AP2" s="298"/>
      <c r="AQ2" s="298"/>
      <c r="AR2" s="298"/>
      <c r="AS2" s="298"/>
      <c r="AT2" s="298"/>
      <c r="AU2" s="298"/>
      <c r="AV2" s="298"/>
      <c r="AW2" s="298"/>
      <c r="AX2" s="298"/>
      <c r="AY2" s="298"/>
      <c r="AZ2" s="298"/>
      <c r="BA2" s="298"/>
      <c r="BB2" s="298"/>
      <c r="BC2" s="298"/>
      <c r="BD2" s="298"/>
      <c r="BE2" s="298"/>
      <c r="BF2" s="298"/>
      <c r="BG2" s="298"/>
      <c r="BH2" s="298"/>
      <c r="BI2" s="298"/>
      <c r="BJ2" s="298"/>
      <c r="BK2" s="298"/>
      <c r="BL2" s="298"/>
      <c r="BM2" s="298"/>
      <c r="BN2" s="298"/>
      <c r="BO2" s="298"/>
      <c r="BP2" s="298"/>
      <c r="BQ2" s="298"/>
      <c r="BR2" s="298"/>
      <c r="BS2" s="298"/>
      <c r="BT2" s="298"/>
      <c r="BU2" s="351"/>
      <c r="BV2" s="351"/>
      <c r="BW2" s="9"/>
    </row>
    <row r="3" spans="4:80" ht="18" customHeight="1" x14ac:dyDescent="0.2">
      <c r="D3" s="9"/>
      <c r="E3" s="156">
        <v>0</v>
      </c>
      <c r="G3" s="19" t="str">
        <f>[54]summary!H9</f>
        <v>Revised</v>
      </c>
      <c r="H3" s="19"/>
      <c r="I3" s="19"/>
      <c r="J3" s="36"/>
      <c r="K3" s="19"/>
      <c r="L3" s="19" t="s">
        <v>4</v>
      </c>
      <c r="M3" s="19"/>
      <c r="N3" s="19"/>
      <c r="O3" s="36"/>
      <c r="P3" s="19"/>
      <c r="Q3" s="19" t="s">
        <v>5</v>
      </c>
      <c r="R3" s="19"/>
      <c r="S3" s="19"/>
      <c r="T3" s="36"/>
      <c r="U3" s="19"/>
      <c r="V3" s="19" t="s">
        <v>6</v>
      </c>
      <c r="W3" s="19"/>
      <c r="X3" s="19"/>
      <c r="Y3" s="36"/>
      <c r="Z3" s="19"/>
      <c r="AA3" s="19" t="s">
        <v>7</v>
      </c>
      <c r="AB3" s="19"/>
      <c r="AC3" s="19"/>
      <c r="AD3" s="36"/>
      <c r="AE3" s="19"/>
      <c r="AF3" s="19" t="s">
        <v>8</v>
      </c>
      <c r="AG3" s="19"/>
      <c r="AH3" s="19"/>
      <c r="AI3" s="36"/>
      <c r="AJ3" s="19"/>
      <c r="AK3" s="19" t="s">
        <v>9</v>
      </c>
      <c r="AL3" s="19"/>
      <c r="AM3" s="19"/>
      <c r="AN3" s="36"/>
      <c r="AO3" s="19"/>
      <c r="AP3" s="19" t="s">
        <v>10</v>
      </c>
      <c r="AQ3" s="19"/>
      <c r="AR3" s="19"/>
      <c r="AS3" s="36"/>
      <c r="AT3" s="19"/>
      <c r="AU3" s="19" t="s">
        <v>11</v>
      </c>
      <c r="AV3" s="19"/>
      <c r="AW3" s="19"/>
      <c r="AX3" s="36"/>
      <c r="AY3" s="19"/>
      <c r="AZ3" s="19" t="s">
        <v>12</v>
      </c>
      <c r="BA3" s="19"/>
      <c r="BB3" s="19"/>
      <c r="BC3" s="36"/>
      <c r="BD3" s="19"/>
      <c r="BE3" s="19" t="s">
        <v>13</v>
      </c>
      <c r="BF3" s="19"/>
      <c r="BG3" s="19"/>
      <c r="BH3" s="36"/>
      <c r="BI3" s="19"/>
      <c r="BJ3" s="19" t="s">
        <v>14</v>
      </c>
      <c r="BK3" s="19"/>
      <c r="BL3" s="19"/>
      <c r="BM3" s="36"/>
      <c r="BN3" s="19"/>
      <c r="BO3" s="19" t="s">
        <v>15</v>
      </c>
      <c r="BP3" s="19"/>
      <c r="BQ3" s="19"/>
      <c r="BR3" s="36"/>
      <c r="BS3" s="19"/>
      <c r="BT3" s="19" t="s">
        <v>16</v>
      </c>
      <c r="BU3" s="19"/>
      <c r="BV3" s="19"/>
      <c r="BW3" s="9"/>
    </row>
    <row r="4" spans="4:80" x14ac:dyDescent="0.2">
      <c r="D4" s="300" t="s">
        <v>17</v>
      </c>
      <c r="E4" s="353">
        <v>0</v>
      </c>
      <c r="F4" s="354"/>
      <c r="G4" s="89" t="s">
        <v>18</v>
      </c>
      <c r="H4" s="89"/>
      <c r="I4" s="89"/>
      <c r="J4" s="302"/>
      <c r="K4" s="89"/>
      <c r="L4" s="301"/>
      <c r="M4" s="301"/>
      <c r="N4" s="301"/>
      <c r="O4" s="355"/>
      <c r="P4" s="301"/>
      <c r="Q4" s="301"/>
      <c r="R4" s="301"/>
      <c r="S4" s="301"/>
      <c r="T4" s="355"/>
      <c r="U4" s="301"/>
      <c r="V4" s="301"/>
      <c r="W4" s="301"/>
      <c r="X4" s="301"/>
      <c r="Y4" s="355"/>
      <c r="Z4" s="301"/>
      <c r="AA4" s="301"/>
      <c r="AB4" s="301"/>
      <c r="AC4" s="301"/>
      <c r="AD4" s="355"/>
      <c r="AE4" s="301"/>
      <c r="AF4" s="301"/>
      <c r="AG4" s="301"/>
      <c r="AH4" s="301"/>
      <c r="AI4" s="355"/>
      <c r="AJ4" s="301"/>
      <c r="AK4" s="301"/>
      <c r="AL4" s="301"/>
      <c r="AM4" s="301"/>
      <c r="AN4" s="355"/>
      <c r="AO4" s="301"/>
      <c r="AP4" s="301"/>
      <c r="AQ4" s="301"/>
      <c r="AR4" s="301"/>
      <c r="AS4" s="355"/>
      <c r="AT4" s="301"/>
      <c r="AU4" s="301"/>
      <c r="AV4" s="301"/>
      <c r="AW4" s="301"/>
      <c r="AX4" s="355"/>
      <c r="AY4" s="301"/>
      <c r="AZ4" s="301"/>
      <c r="BA4" s="301"/>
      <c r="BB4" s="301"/>
      <c r="BC4" s="355"/>
      <c r="BD4" s="301"/>
      <c r="BE4" s="301"/>
      <c r="BF4" s="301"/>
      <c r="BG4" s="301"/>
      <c r="BH4" s="355"/>
      <c r="BI4" s="301"/>
      <c r="BJ4" s="301"/>
      <c r="BK4" s="301"/>
      <c r="BL4" s="301"/>
      <c r="BM4" s="355"/>
      <c r="BN4" s="301"/>
      <c r="BO4" s="301"/>
      <c r="BP4" s="301"/>
      <c r="BQ4" s="301"/>
      <c r="BR4" s="355"/>
      <c r="BS4" s="301"/>
      <c r="BT4" s="301"/>
      <c r="BU4" s="19"/>
      <c r="BV4" s="19"/>
      <c r="BW4" s="9"/>
    </row>
    <row r="5" spans="4:80" x14ac:dyDescent="0.2">
      <c r="D5" s="356"/>
      <c r="E5" s="326"/>
      <c r="F5" s="357"/>
      <c r="G5" s="357"/>
      <c r="H5" s="357"/>
      <c r="I5" s="357"/>
      <c r="J5" s="326"/>
      <c r="K5" s="357"/>
      <c r="L5" s="357"/>
      <c r="M5" s="357"/>
      <c r="N5" s="357"/>
      <c r="O5" s="326"/>
      <c r="P5" s="357"/>
      <c r="Q5" s="357"/>
      <c r="R5" s="357"/>
      <c r="S5" s="357"/>
      <c r="T5" s="326"/>
      <c r="U5" s="357"/>
      <c r="V5" s="357"/>
      <c r="W5" s="357"/>
      <c r="X5" s="357"/>
      <c r="Y5" s="326"/>
      <c r="Z5" s="357"/>
      <c r="AA5" s="357"/>
      <c r="AB5" s="357"/>
      <c r="AC5" s="357"/>
      <c r="AD5" s="326"/>
      <c r="AE5" s="357"/>
      <c r="AF5" s="357"/>
      <c r="AG5" s="357"/>
      <c r="AH5" s="357"/>
      <c r="AI5" s="326"/>
      <c r="AJ5" s="357"/>
      <c r="AK5" s="357"/>
      <c r="AL5" s="357"/>
      <c r="AM5" s="357"/>
      <c r="AN5" s="326"/>
      <c r="AO5" s="357"/>
      <c r="AP5" s="357"/>
      <c r="AQ5" s="357"/>
      <c r="AR5" s="357"/>
      <c r="AS5" s="326"/>
      <c r="AT5" s="357"/>
      <c r="AU5" s="357"/>
      <c r="AV5" s="357"/>
      <c r="AW5" s="357"/>
      <c r="AX5" s="326"/>
      <c r="AY5" s="357"/>
      <c r="AZ5" s="357"/>
      <c r="BA5" s="357"/>
      <c r="BB5" s="357"/>
      <c r="BC5" s="326"/>
      <c r="BD5" s="357"/>
      <c r="BE5" s="357"/>
      <c r="BF5" s="357"/>
      <c r="BG5" s="357"/>
      <c r="BH5" s="326"/>
      <c r="BI5" s="357"/>
      <c r="BJ5" s="357"/>
      <c r="BK5" s="357"/>
      <c r="BL5" s="323"/>
      <c r="BM5" s="326"/>
      <c r="BN5" s="357"/>
      <c r="BO5" s="357"/>
      <c r="BP5" s="357"/>
      <c r="BQ5" s="357"/>
      <c r="BR5" s="326"/>
      <c r="BS5" s="323"/>
      <c r="BT5" s="86"/>
      <c r="BU5" s="86"/>
      <c r="BV5" s="86"/>
      <c r="BW5" s="9"/>
    </row>
    <row r="6" spans="4:80" s="10" customFormat="1" x14ac:dyDescent="0.2">
      <c r="D6" s="79" t="s">
        <v>333</v>
      </c>
      <c r="E6" s="145"/>
      <c r="G6" s="358">
        <f>SUM(G7:G10)</f>
        <v>514767000</v>
      </c>
      <c r="H6" s="325"/>
      <c r="I6" s="325"/>
      <c r="J6" s="324"/>
      <c r="K6" s="325"/>
      <c r="L6" s="325">
        <f>SUM(L7:L10)</f>
        <v>38837955</v>
      </c>
      <c r="M6" s="325"/>
      <c r="N6" s="325"/>
      <c r="O6" s="324"/>
      <c r="P6" s="325"/>
      <c r="Q6" s="325">
        <f>SUM(Q7:Q10)</f>
        <v>45060969.743999995</v>
      </c>
      <c r="R6" s="325"/>
      <c r="S6" s="325"/>
      <c r="T6" s="324"/>
      <c r="U6" s="325"/>
      <c r="V6" s="325">
        <f>SUM(V7:V10)</f>
        <v>49629337</v>
      </c>
      <c r="W6" s="325"/>
      <c r="X6" s="325"/>
      <c r="Y6" s="324"/>
      <c r="Z6" s="325"/>
      <c r="AA6" s="325">
        <f>SUM(AA7:AA10)</f>
        <v>69933031</v>
      </c>
      <c r="AB6" s="325"/>
      <c r="AC6" s="325"/>
      <c r="AD6" s="324"/>
      <c r="AE6" s="325"/>
      <c r="AF6" s="325">
        <f>SUM(AF7:AF10)</f>
        <v>44360549</v>
      </c>
      <c r="AG6" s="325"/>
      <c r="AH6" s="325"/>
      <c r="AI6" s="324"/>
      <c r="AJ6" s="325"/>
      <c r="AK6" s="325">
        <f>SUM(AK7:AK10)</f>
        <v>61505395</v>
      </c>
      <c r="AL6" s="325"/>
      <c r="AM6" s="325"/>
      <c r="AN6" s="324"/>
      <c r="AO6" s="325"/>
      <c r="AP6" s="325">
        <f>SUM(AP7:AP10)</f>
        <v>59931421</v>
      </c>
      <c r="AQ6" s="325"/>
      <c r="AR6" s="325"/>
      <c r="AS6" s="324"/>
      <c r="AT6" s="325"/>
      <c r="AU6" s="325">
        <f>SUM(AU7:AU10)</f>
        <v>46720787</v>
      </c>
      <c r="AV6" s="325"/>
      <c r="AW6" s="325"/>
      <c r="AX6" s="324"/>
      <c r="AY6" s="325"/>
      <c r="AZ6" s="325">
        <f>SUM(AZ7:AZ10)</f>
        <v>52395859</v>
      </c>
      <c r="BA6" s="325"/>
      <c r="BB6" s="325"/>
      <c r="BC6" s="324"/>
      <c r="BD6" s="325"/>
      <c r="BE6" s="325">
        <f>SUM(BE7:BE10)</f>
        <v>39193318</v>
      </c>
      <c r="BF6" s="325"/>
      <c r="BG6" s="325"/>
      <c r="BH6" s="324"/>
      <c r="BI6" s="325"/>
      <c r="BJ6" s="325">
        <f>SUM(BJ7:BJ10)</f>
        <v>0</v>
      </c>
      <c r="BK6" s="325"/>
      <c r="BL6" s="325"/>
      <c r="BM6" s="324"/>
      <c r="BN6" s="325"/>
      <c r="BO6" s="325">
        <f>SUM(BO7:BO10)</f>
        <v>0</v>
      </c>
      <c r="BP6" s="325"/>
      <c r="BQ6" s="325"/>
      <c r="BR6" s="324"/>
      <c r="BS6" s="325"/>
      <c r="BT6" s="325">
        <f>SUM(BT7:BT10)</f>
        <v>507568621.74399996</v>
      </c>
      <c r="BU6" s="325"/>
      <c r="BV6" s="325"/>
      <c r="BW6" s="79"/>
    </row>
    <row r="7" spans="4:80" x14ac:dyDescent="0.2">
      <c r="D7" s="9" t="s">
        <v>334</v>
      </c>
      <c r="F7" s="309"/>
      <c r="G7" s="359">
        <f>+G12</f>
        <v>514767000</v>
      </c>
      <c r="H7" s="360"/>
      <c r="I7" s="323"/>
      <c r="J7" s="322"/>
      <c r="K7" s="326"/>
      <c r="L7" s="357">
        <f>+L12</f>
        <v>38350619</v>
      </c>
      <c r="M7" s="360"/>
      <c r="N7" s="323"/>
      <c r="O7" s="322"/>
      <c r="P7" s="326"/>
      <c r="Q7" s="357">
        <f>+Q12</f>
        <v>45031287.743999995</v>
      </c>
      <c r="R7" s="360"/>
      <c r="S7" s="323"/>
      <c r="T7" s="322"/>
      <c r="U7" s="326"/>
      <c r="V7" s="357">
        <f>+V12</f>
        <v>49600848</v>
      </c>
      <c r="W7" s="360"/>
      <c r="X7" s="323"/>
      <c r="Y7" s="322"/>
      <c r="Z7" s="326"/>
      <c r="AA7" s="357">
        <f>+AA12</f>
        <v>69933031</v>
      </c>
      <c r="AB7" s="360"/>
      <c r="AC7" s="323"/>
      <c r="AD7" s="322"/>
      <c r="AE7" s="326"/>
      <c r="AF7" s="357">
        <f>+AF12</f>
        <v>44319358</v>
      </c>
      <c r="AG7" s="360"/>
      <c r="AH7" s="323"/>
      <c r="AI7" s="322"/>
      <c r="AJ7" s="326"/>
      <c r="AK7" s="357">
        <f>+AK12</f>
        <v>61486843</v>
      </c>
      <c r="AL7" s="360"/>
      <c r="AM7" s="323"/>
      <c r="AN7" s="322"/>
      <c r="AO7" s="326"/>
      <c r="AP7" s="357">
        <f>+AP12</f>
        <v>59931421</v>
      </c>
      <c r="AQ7" s="360"/>
      <c r="AR7" s="323"/>
      <c r="AS7" s="322"/>
      <c r="AT7" s="326"/>
      <c r="AU7" s="357">
        <f>+AU12</f>
        <v>46634910</v>
      </c>
      <c r="AV7" s="360"/>
      <c r="AW7" s="323"/>
      <c r="AX7" s="322"/>
      <c r="AY7" s="326"/>
      <c r="AZ7" s="357">
        <f>+AZ12</f>
        <v>52191398</v>
      </c>
      <c r="BA7" s="360"/>
      <c r="BB7" s="323"/>
      <c r="BC7" s="322"/>
      <c r="BD7" s="326"/>
      <c r="BE7" s="357">
        <f>+BE12</f>
        <v>39060638</v>
      </c>
      <c r="BF7" s="360"/>
      <c r="BG7" s="323"/>
      <c r="BH7" s="322"/>
      <c r="BI7" s="326"/>
      <c r="BJ7" s="357">
        <f>+BJ12</f>
        <v>0</v>
      </c>
      <c r="BK7" s="360"/>
      <c r="BL7" s="323"/>
      <c r="BM7" s="322"/>
      <c r="BN7" s="326"/>
      <c r="BO7" s="357">
        <f>+BO12</f>
        <v>0</v>
      </c>
      <c r="BP7" s="360"/>
      <c r="BQ7" s="323"/>
      <c r="BR7" s="322"/>
      <c r="BS7" s="326"/>
      <c r="BT7" s="357">
        <f>+BT12</f>
        <v>506540353.74399996</v>
      </c>
      <c r="BU7" s="360"/>
      <c r="BV7" s="323"/>
      <c r="BW7" s="9"/>
      <c r="BZ7" s="10"/>
      <c r="CA7" s="10"/>
    </row>
    <row r="8" spans="4:80" x14ac:dyDescent="0.2">
      <c r="D8" s="9" t="s">
        <v>335</v>
      </c>
      <c r="F8" s="156"/>
      <c r="G8" s="361">
        <f>G207</f>
        <v>0</v>
      </c>
      <c r="H8" s="362"/>
      <c r="I8" s="323"/>
      <c r="J8" s="322"/>
      <c r="K8" s="322"/>
      <c r="L8" s="323">
        <f>L207</f>
        <v>0</v>
      </c>
      <c r="M8" s="362"/>
      <c r="N8" s="323"/>
      <c r="O8" s="322"/>
      <c r="P8" s="322"/>
      <c r="Q8" s="323">
        <f>Q207</f>
        <v>0</v>
      </c>
      <c r="R8" s="362"/>
      <c r="S8" s="323"/>
      <c r="T8" s="322"/>
      <c r="U8" s="322"/>
      <c r="V8" s="323">
        <f>V207</f>
        <v>0</v>
      </c>
      <c r="W8" s="362"/>
      <c r="X8" s="323"/>
      <c r="Y8" s="322"/>
      <c r="Z8" s="322"/>
      <c r="AA8" s="323">
        <f>AA207</f>
        <v>0</v>
      </c>
      <c r="AB8" s="362"/>
      <c r="AC8" s="323"/>
      <c r="AD8" s="322"/>
      <c r="AE8" s="322"/>
      <c r="AF8" s="323">
        <f>AF207</f>
        <v>0</v>
      </c>
      <c r="AG8" s="362"/>
      <c r="AH8" s="323"/>
      <c r="AI8" s="322"/>
      <c r="AJ8" s="322"/>
      <c r="AK8" s="323">
        <f>AK207</f>
        <v>0</v>
      </c>
      <c r="AL8" s="362"/>
      <c r="AM8" s="323"/>
      <c r="AN8" s="322"/>
      <c r="AO8" s="322"/>
      <c r="AP8" s="323">
        <f>AP207</f>
        <v>0</v>
      </c>
      <c r="AQ8" s="362"/>
      <c r="AR8" s="323"/>
      <c r="AS8" s="322"/>
      <c r="AT8" s="322"/>
      <c r="AU8" s="323">
        <f>AU207</f>
        <v>0</v>
      </c>
      <c r="AV8" s="362"/>
      <c r="AW8" s="323"/>
      <c r="AX8" s="322"/>
      <c r="AY8" s="322"/>
      <c r="AZ8" s="323">
        <f>AZ207</f>
        <v>0</v>
      </c>
      <c r="BA8" s="362"/>
      <c r="BB8" s="323"/>
      <c r="BC8" s="322"/>
      <c r="BD8" s="322"/>
      <c r="BE8" s="323">
        <f>BE207</f>
        <v>0</v>
      </c>
      <c r="BF8" s="362"/>
      <c r="BH8" s="322"/>
      <c r="BI8" s="322"/>
      <c r="BJ8" s="323">
        <f>BJ207</f>
        <v>0</v>
      </c>
      <c r="BK8" s="362"/>
      <c r="BL8" s="323"/>
      <c r="BM8" s="322"/>
      <c r="BN8" s="322"/>
      <c r="BO8" s="323">
        <f>BO207</f>
        <v>0</v>
      </c>
      <c r="BP8" s="362"/>
      <c r="BQ8" s="323"/>
      <c r="BR8" s="322"/>
      <c r="BS8" s="322"/>
      <c r="BT8" s="323">
        <f>BT207</f>
        <v>0</v>
      </c>
      <c r="BU8" s="362"/>
      <c r="BV8" s="323"/>
      <c r="BW8" s="9"/>
      <c r="BZ8" s="10"/>
      <c r="CA8" s="10"/>
    </row>
    <row r="9" spans="4:80" x14ac:dyDescent="0.2">
      <c r="D9" s="9" t="s">
        <v>336</v>
      </c>
      <c r="F9" s="320"/>
      <c r="G9" s="363">
        <f>G277</f>
        <v>0</v>
      </c>
      <c r="H9" s="364"/>
      <c r="I9" s="323"/>
      <c r="J9" s="322"/>
      <c r="K9" s="336"/>
      <c r="L9" s="365">
        <f>L277</f>
        <v>487336</v>
      </c>
      <c r="M9" s="364"/>
      <c r="N9" s="323"/>
      <c r="O9" s="322"/>
      <c r="P9" s="336"/>
      <c r="Q9" s="365">
        <f>Q277</f>
        <v>29682</v>
      </c>
      <c r="R9" s="364"/>
      <c r="S9" s="323"/>
      <c r="T9" s="322"/>
      <c r="U9" s="336"/>
      <c r="V9" s="365">
        <f>V277</f>
        <v>28489</v>
      </c>
      <c r="W9" s="364"/>
      <c r="X9" s="323"/>
      <c r="Y9" s="322"/>
      <c r="Z9" s="336"/>
      <c r="AA9" s="365">
        <f>AA277</f>
        <v>0</v>
      </c>
      <c r="AB9" s="364"/>
      <c r="AC9" s="323"/>
      <c r="AD9" s="322"/>
      <c r="AE9" s="336"/>
      <c r="AF9" s="365">
        <f>AF277</f>
        <v>41191</v>
      </c>
      <c r="AG9" s="364"/>
      <c r="AH9" s="323"/>
      <c r="AI9" s="322"/>
      <c r="AJ9" s="336"/>
      <c r="AK9" s="365">
        <f>AK277</f>
        <v>18552</v>
      </c>
      <c r="AL9" s="364"/>
      <c r="AM9" s="323"/>
      <c r="AN9" s="322"/>
      <c r="AO9" s="336"/>
      <c r="AP9" s="365">
        <f>AP277</f>
        <v>0</v>
      </c>
      <c r="AQ9" s="364"/>
      <c r="AR9" s="323"/>
      <c r="AS9" s="322"/>
      <c r="AT9" s="336"/>
      <c r="AU9" s="365">
        <f>AU277</f>
        <v>85877</v>
      </c>
      <c r="AV9" s="364"/>
      <c r="AW9" s="323"/>
      <c r="AX9" s="322"/>
      <c r="AY9" s="336"/>
      <c r="AZ9" s="365">
        <f>AZ277</f>
        <v>204461</v>
      </c>
      <c r="BA9" s="364"/>
      <c r="BB9" s="323"/>
      <c r="BC9" s="322"/>
      <c r="BD9" s="336"/>
      <c r="BE9" s="365">
        <f>BE277</f>
        <v>132680</v>
      </c>
      <c r="BF9" s="364"/>
      <c r="BG9" s="323"/>
      <c r="BH9" s="322"/>
      <c r="BI9" s="336"/>
      <c r="BJ9" s="365">
        <f>BJ277</f>
        <v>0</v>
      </c>
      <c r="BK9" s="364"/>
      <c r="BL9" s="323"/>
      <c r="BM9" s="322"/>
      <c r="BN9" s="336"/>
      <c r="BO9" s="365">
        <f>BO277</f>
        <v>0</v>
      </c>
      <c r="BP9" s="364"/>
      <c r="BQ9" s="323"/>
      <c r="BR9" s="322"/>
      <c r="BS9" s="336"/>
      <c r="BT9" s="365">
        <f>BT277</f>
        <v>1028268</v>
      </c>
      <c r="BU9" s="364"/>
      <c r="BV9" s="323"/>
      <c r="BW9" s="9"/>
      <c r="BZ9" s="10"/>
      <c r="CA9" s="10"/>
    </row>
    <row r="10" spans="4:80" ht="12.75" hidden="1" customHeight="1" x14ac:dyDescent="0.2">
      <c r="D10" s="319" t="s">
        <v>337</v>
      </c>
      <c r="E10" s="366"/>
      <c r="F10" s="367"/>
      <c r="G10" s="363">
        <v>0</v>
      </c>
      <c r="H10" s="364"/>
      <c r="I10" s="323"/>
      <c r="J10" s="322"/>
      <c r="K10" s="336"/>
      <c r="L10" s="365">
        <f>L307</f>
        <v>0</v>
      </c>
      <c r="M10" s="364"/>
      <c r="N10" s="323"/>
      <c r="O10" s="322"/>
      <c r="P10" s="336"/>
      <c r="Q10" s="365">
        <f>Q307</f>
        <v>0</v>
      </c>
      <c r="R10" s="364"/>
      <c r="S10" s="323"/>
      <c r="T10" s="322"/>
      <c r="U10" s="336"/>
      <c r="V10" s="365">
        <f>V307</f>
        <v>0</v>
      </c>
      <c r="W10" s="364"/>
      <c r="X10" s="323"/>
      <c r="Y10" s="322"/>
      <c r="Z10" s="336"/>
      <c r="AA10" s="365">
        <f>AA307</f>
        <v>0</v>
      </c>
      <c r="AB10" s="364"/>
      <c r="AC10" s="323"/>
      <c r="AD10" s="322"/>
      <c r="AE10" s="336"/>
      <c r="AF10" s="365">
        <v>0</v>
      </c>
      <c r="AG10" s="364"/>
      <c r="AH10" s="323"/>
      <c r="AI10" s="322"/>
      <c r="AJ10" s="336"/>
      <c r="AK10" s="365">
        <v>0</v>
      </c>
      <c r="AL10" s="364"/>
      <c r="AM10" s="323"/>
      <c r="AN10" s="322"/>
      <c r="AO10" s="336"/>
      <c r="AP10" s="365">
        <f>AP307</f>
        <v>0</v>
      </c>
      <c r="AQ10" s="364"/>
      <c r="AR10" s="323"/>
      <c r="AS10" s="322"/>
      <c r="AT10" s="336"/>
      <c r="AU10" s="365">
        <f>AU307</f>
        <v>0</v>
      </c>
      <c r="AV10" s="364"/>
      <c r="AW10" s="323"/>
      <c r="AX10" s="322"/>
      <c r="AY10" s="336"/>
      <c r="AZ10" s="365">
        <f>AZ307</f>
        <v>0</v>
      </c>
      <c r="BA10" s="364"/>
      <c r="BB10" s="323"/>
      <c r="BC10" s="322"/>
      <c r="BD10" s="336"/>
      <c r="BE10" s="365">
        <f>BE307</f>
        <v>0</v>
      </c>
      <c r="BF10" s="364"/>
      <c r="BG10" s="323"/>
      <c r="BH10" s="322"/>
      <c r="BI10" s="336"/>
      <c r="BJ10" s="365">
        <f>BJ307</f>
        <v>0</v>
      </c>
      <c r="BK10" s="364"/>
      <c r="BL10" s="323"/>
      <c r="BM10" s="322"/>
      <c r="BN10" s="336"/>
      <c r="BO10" s="365">
        <f>BO307</f>
        <v>0</v>
      </c>
      <c r="BP10" s="364"/>
      <c r="BQ10" s="323"/>
      <c r="BR10" s="322"/>
      <c r="BS10" s="336"/>
      <c r="BT10" s="365">
        <v>0</v>
      </c>
      <c r="BU10" s="364"/>
      <c r="BV10" s="323"/>
      <c r="BW10" s="9"/>
      <c r="BZ10" s="10"/>
      <c r="CA10" s="10"/>
    </row>
    <row r="11" spans="4:80" x14ac:dyDescent="0.2">
      <c r="D11" s="9"/>
      <c r="G11" s="361"/>
      <c r="H11" s="323"/>
      <c r="I11" s="323"/>
      <c r="J11" s="322"/>
      <c r="K11" s="323"/>
      <c r="L11" s="323"/>
      <c r="M11" s="323"/>
      <c r="N11" s="323"/>
      <c r="O11" s="322"/>
      <c r="P11" s="323"/>
      <c r="Q11" s="323"/>
      <c r="R11" s="323"/>
      <c r="S11" s="323"/>
      <c r="T11" s="322"/>
      <c r="U11" s="323"/>
      <c r="V11" s="323"/>
      <c r="W11" s="323"/>
      <c r="X11" s="323"/>
      <c r="Y11" s="322"/>
      <c r="Z11" s="323"/>
      <c r="AA11" s="323"/>
      <c r="AB11" s="323"/>
      <c r="AC11" s="323"/>
      <c r="AD11" s="322"/>
      <c r="AE11" s="323"/>
      <c r="AF11" s="323"/>
      <c r="AG11" s="323"/>
      <c r="AH11" s="323"/>
      <c r="AI11" s="322"/>
      <c r="AJ11" s="323"/>
      <c r="AK11" s="323"/>
      <c r="AL11" s="323"/>
      <c r="AM11" s="323"/>
      <c r="AN11" s="322"/>
      <c r="AO11" s="323"/>
      <c r="AP11" s="323"/>
      <c r="AQ11" s="323"/>
      <c r="AR11" s="323"/>
      <c r="AS11" s="322"/>
      <c r="AT11" s="323"/>
      <c r="AU11" s="323"/>
      <c r="AV11" s="323"/>
      <c r="AW11" s="323"/>
      <c r="AX11" s="322"/>
      <c r="AY11" s="323"/>
      <c r="AZ11" s="323"/>
      <c r="BA11" s="323"/>
      <c r="BB11" s="323"/>
      <c r="BC11" s="322"/>
      <c r="BD11" s="323"/>
      <c r="BE11" s="323"/>
      <c r="BF11" s="323"/>
      <c r="BG11" s="323"/>
      <c r="BH11" s="322"/>
      <c r="BI11" s="323"/>
      <c r="BJ11" s="323"/>
      <c r="BK11" s="323"/>
      <c r="BL11" s="323"/>
      <c r="BM11" s="322"/>
      <c r="BN11" s="323"/>
      <c r="BO11" s="323"/>
      <c r="BP11" s="323"/>
      <c r="BQ11" s="323"/>
      <c r="BR11" s="322"/>
      <c r="BS11" s="323"/>
      <c r="BT11" s="323"/>
      <c r="BU11" s="323"/>
      <c r="BV11" s="323"/>
      <c r="BW11" s="9"/>
      <c r="BZ11" s="10"/>
      <c r="CA11" s="10"/>
    </row>
    <row r="12" spans="4:80" s="10" customFormat="1" x14ac:dyDescent="0.2">
      <c r="D12" s="79" t="s">
        <v>338</v>
      </c>
      <c r="E12" s="145"/>
      <c r="G12" s="368">
        <f>SUM(G13:G16)</f>
        <v>514767000</v>
      </c>
      <c r="H12" s="368"/>
      <c r="I12" s="368"/>
      <c r="J12" s="369"/>
      <c r="K12" s="368"/>
      <c r="L12" s="368">
        <f>SUM(L13:L16)</f>
        <v>38350619</v>
      </c>
      <c r="M12" s="368"/>
      <c r="N12" s="368"/>
      <c r="O12" s="369"/>
      <c r="P12" s="368"/>
      <c r="Q12" s="368">
        <f>SUM(Q13:Q16)</f>
        <v>45031287.743999995</v>
      </c>
      <c r="R12" s="368"/>
      <c r="S12" s="368"/>
      <c r="T12" s="369"/>
      <c r="U12" s="368"/>
      <c r="V12" s="368">
        <f>SUM(V13:V16)</f>
        <v>49600848</v>
      </c>
      <c r="W12" s="368"/>
      <c r="X12" s="368"/>
      <c r="Y12" s="369"/>
      <c r="Z12" s="368"/>
      <c r="AA12" s="368">
        <f>SUM(AA13:AA16)</f>
        <v>69933031</v>
      </c>
      <c r="AB12" s="368"/>
      <c r="AC12" s="368"/>
      <c r="AD12" s="369"/>
      <c r="AE12" s="368"/>
      <c r="AF12" s="368">
        <f>SUM(AF13:AF16)</f>
        <v>44319358</v>
      </c>
      <c r="AG12" s="368"/>
      <c r="AH12" s="368"/>
      <c r="AI12" s="369"/>
      <c r="AJ12" s="368"/>
      <c r="AK12" s="368">
        <f>SUM(AK13:AK16)</f>
        <v>61486843</v>
      </c>
      <c r="AL12" s="368"/>
      <c r="AM12" s="368"/>
      <c r="AN12" s="369"/>
      <c r="AO12" s="368"/>
      <c r="AP12" s="368">
        <f>SUM(AP13:AP16)</f>
        <v>59931421</v>
      </c>
      <c r="AQ12" s="368"/>
      <c r="AR12" s="368"/>
      <c r="AS12" s="369"/>
      <c r="AT12" s="368"/>
      <c r="AU12" s="368">
        <f>SUM(AU13:AU16)</f>
        <v>46634910</v>
      </c>
      <c r="AV12" s="368"/>
      <c r="AW12" s="368"/>
      <c r="AX12" s="369"/>
      <c r="AY12" s="368"/>
      <c r="AZ12" s="368">
        <f>SUM(AZ13:AZ16)</f>
        <v>52191398</v>
      </c>
      <c r="BA12" s="368"/>
      <c r="BB12" s="368"/>
      <c r="BC12" s="369"/>
      <c r="BD12" s="368"/>
      <c r="BE12" s="368">
        <f>SUM(BE13:BE16)</f>
        <v>39060638</v>
      </c>
      <c r="BF12" s="368"/>
      <c r="BG12" s="368"/>
      <c r="BH12" s="369"/>
      <c r="BI12" s="368"/>
      <c r="BJ12" s="368">
        <f>SUM(BJ13:BJ16)</f>
        <v>0</v>
      </c>
      <c r="BK12" s="368"/>
      <c r="BL12" s="368"/>
      <c r="BM12" s="369"/>
      <c r="BN12" s="368"/>
      <c r="BO12" s="368">
        <f>SUM(BO13:BO16)</f>
        <v>0</v>
      </c>
      <c r="BP12" s="368"/>
      <c r="BQ12" s="368"/>
      <c r="BR12" s="369"/>
      <c r="BS12" s="368"/>
      <c r="BT12" s="368">
        <f>SUM(BT13:BT16)</f>
        <v>506540353.74399996</v>
      </c>
      <c r="BU12" s="368"/>
      <c r="BV12" s="368"/>
      <c r="BW12" s="79"/>
      <c r="CB12" s="370"/>
    </row>
    <row r="13" spans="4:80" x14ac:dyDescent="0.2">
      <c r="D13" s="9" t="s">
        <v>339</v>
      </c>
      <c r="F13" s="309"/>
      <c r="G13" s="371">
        <v>462500000</v>
      </c>
      <c r="H13" s="372"/>
      <c r="I13" s="373"/>
      <c r="J13" s="374"/>
      <c r="K13" s="375"/>
      <c r="L13" s="371">
        <f>+L19+L52+L57+L62+L68+L74+L79+L85+L90+L95+L100+L105+L110+L115+L120+L126+L132+L138+L143+L184+L198+L148+L173+L22+L28+L46+L34+L153+L158+L163+L168+L40</f>
        <v>32408976</v>
      </c>
      <c r="M13" s="372"/>
      <c r="N13" s="373"/>
      <c r="O13" s="374"/>
      <c r="P13" s="375"/>
      <c r="Q13" s="371">
        <f>+Q19+Q52+Q57+Q62+Q68+Q74+Q79+Q85+Q90+Q95+Q100+Q105+Q110+Q115+Q120+Q126+Q132+Q138+Q143+Q184+Q198+Q148+Q173+Q22+Q28+Q46+Q34+Q153+Q158+Q163+Q168+Q40</f>
        <v>40737984.292999998</v>
      </c>
      <c r="R13" s="372"/>
      <c r="S13" s="373"/>
      <c r="T13" s="374"/>
      <c r="U13" s="375"/>
      <c r="V13" s="371">
        <f>+V19+V52+V57+V62+V68+V74+V79+V85+V90+V95+V100+V105+V110+V115+V120+V126+V132+V138+V143+V184+V198+V148+V173+V22+V28+V46+V34+V153+V158+V163+V168+V40</f>
        <v>41826856</v>
      </c>
      <c r="W13" s="372"/>
      <c r="X13" s="373"/>
      <c r="Y13" s="374"/>
      <c r="Z13" s="375"/>
      <c r="AA13" s="371">
        <f>+AA19+AA52+AA57+AA62+AA68+AA74+AA79+AA85+AA90+AA95+AA100+AA105+AA110+AA115+AA120+AA126+AA132+AA138+AA143+AA184+AA198+AA148+AA173+AA22+AA28+AA46+AA34+AA153+AA158+AA163+AA168+AA40</f>
        <v>59773525</v>
      </c>
      <c r="AB13" s="372"/>
      <c r="AC13" s="373"/>
      <c r="AD13" s="374"/>
      <c r="AE13" s="375"/>
      <c r="AF13" s="371">
        <f>+AF19+AF52+AF57+AF62+AF68+AF74+AF79+AF85+AF90+AF95+AF100+AF105+AF110+AF115+AF120+AF126+AF132+AF138+AF143+AF184+AF198+AF148+AF173+AF22+AF28+AF46+AF34+AF153+AF158+AF163+AF168+AF40</f>
        <v>35573638</v>
      </c>
      <c r="AG13" s="372"/>
      <c r="AH13" s="373"/>
      <c r="AI13" s="374"/>
      <c r="AJ13" s="375"/>
      <c r="AK13" s="371">
        <f>+AK19+AK52+AK57+AK62+AK68+AK74+AK79+AK85+AK90+AK95+AK100+AK105+AK110+AK115+AK120+AK126+AK132+AK138+AK143+AK184+AK198+AK148+AK173+AK22+AK28+AK46+AK34+AK153+AK158+AK163+AK168+AK40</f>
        <v>47078533</v>
      </c>
      <c r="AL13" s="372"/>
      <c r="AM13" s="373"/>
      <c r="AN13" s="374"/>
      <c r="AO13" s="375"/>
      <c r="AP13" s="371">
        <f>+AP19+AP52+AP57+AP62+AP68+AP74+AP79+AP85+AP90+AP95+AP100+AP105+AP110+AP115+AP120+AP126+AP132+AP138+AP143+AP184+AP198+AP148+AP173+AP22+AP28+AP46+AP34+AP153+AP158+AP163+AP168+AP40</f>
        <v>49799971</v>
      </c>
      <c r="AQ13" s="372"/>
      <c r="AR13" s="373"/>
      <c r="AS13" s="374"/>
      <c r="AT13" s="375"/>
      <c r="AU13" s="371">
        <f>+AU19+AU52+AU57+AU62+AU68+AU74+AU79+AU85+AU90+AU95+AU100+AU105+AU110+AU115+AU120+AU126+AU132+AU138+AU143+AU184+AU198+AU148+AU173+AU22+AU28+AU46+AU34+AU153+AU158+AU163+AU168+AU40</f>
        <v>37061635</v>
      </c>
      <c r="AV13" s="372"/>
      <c r="AW13" s="373"/>
      <c r="AX13" s="374"/>
      <c r="AY13" s="375"/>
      <c r="AZ13" s="371">
        <f>+AZ19+AZ52+AZ57+AZ62+AZ68+AZ74+AZ79+AZ85+AZ90+AZ95+AZ100+AZ105+AZ110+AZ115+AZ120+AZ126+AZ132+AZ138+AZ143+AZ184+AZ198+AZ148+AZ173+AZ22+AZ28+AZ46+AZ34+AZ153+AZ158+AZ163+AZ168+AZ40</f>
        <v>44964861</v>
      </c>
      <c r="BA13" s="372"/>
      <c r="BB13" s="373"/>
      <c r="BC13" s="374"/>
      <c r="BD13" s="375"/>
      <c r="BE13" s="371">
        <f>+BE19+BE52+BE57+BE62+BE68+BE74+BE79+BE85+BE90+BE95+BE100+BE105+BE110+BE115+BE120+BE126+BE132+BE138+BE143+BE184+BE198+BE148+BE173+BE22+BE28+BE46+BE34+BE153+BE158+BE163+BE168+BE40</f>
        <v>34563245</v>
      </c>
      <c r="BF13" s="372"/>
      <c r="BG13" s="373"/>
      <c r="BH13" s="374"/>
      <c r="BI13" s="375"/>
      <c r="BJ13" s="371">
        <f>+BJ19+BJ52+BJ57+BJ62+BJ68+BJ74+BJ79+BJ85+BJ90+BJ95+BJ100+BJ105+BJ110+BJ115+BJ120+BJ126+BJ132+BJ138+BJ143+BJ184+BJ198+BJ148+BJ173+BJ22+BJ28+BJ46+BJ34+BJ153+BJ158+BJ163+BJ168+BJ40</f>
        <v>0</v>
      </c>
      <c r="BK13" s="372"/>
      <c r="BL13" s="373"/>
      <c r="BM13" s="374"/>
      <c r="BN13" s="375"/>
      <c r="BO13" s="371">
        <f>+BO19+BO52+BO57+BO62+BO68+BO74+BO79+BO85+BO90+BO95+BO100+BO105+BO110+BO115+BO120+BO126+BO132+BO138+BO143+BO184+BO198+BO148+BO173+BO22+BO28+BO46+BO34+BO153+BO158+BO163+BO168+BO40</f>
        <v>0</v>
      </c>
      <c r="BP13" s="372"/>
      <c r="BQ13" s="373"/>
      <c r="BR13" s="374"/>
      <c r="BS13" s="375"/>
      <c r="BT13" s="371">
        <f>+BT19+BT52+BT57+BT62+BT68+BT74+BT79+BT85+BT90+BT95+BT100+BT105+BT110+BT115+BT120+BT126+BT132+BT138+BT143+BT184+BT198+BT148+BT173+BT22+BT28+BT46+BT34+BT153+BT158+BT163+BT168+BT40</f>
        <v>423789224.29299998</v>
      </c>
      <c r="BU13" s="372"/>
      <c r="BV13" s="373"/>
      <c r="BW13" s="9"/>
      <c r="BZ13" s="10"/>
      <c r="CA13" s="10"/>
      <c r="CB13" s="376"/>
    </row>
    <row r="14" spans="4:80" x14ac:dyDescent="0.2">
      <c r="D14" s="9" t="s">
        <v>303</v>
      </c>
      <c r="F14" s="156"/>
      <c r="G14" s="373">
        <v>52267000</v>
      </c>
      <c r="H14" s="377"/>
      <c r="I14" s="373"/>
      <c r="J14" s="374"/>
      <c r="K14" s="374"/>
      <c r="L14" s="373">
        <f>+L53+L58+L63+L69+L75+L80+L86+L91+L96+L101+L106+L111+L116+L121+L127+L133+L139+L144+L149+L174+L23+L29+L47+L35+L154+L159+L164+L169+L41</f>
        <v>4299769</v>
      </c>
      <c r="M14" s="377"/>
      <c r="N14" s="373"/>
      <c r="O14" s="374"/>
      <c r="P14" s="374"/>
      <c r="Q14" s="373">
        <f>+Q53+Q58+Q63+Q69+Q75+Q80+Q86+Q91+Q96+Q101+Q106+Q111+Q116+Q121+Q127+Q133+Q139+Q144+Q149+Q174+Q23+Q29+Q47+Q35+Q154+Q159+Q164+Q169+Q41</f>
        <v>4058204</v>
      </c>
      <c r="R14" s="377"/>
      <c r="S14" s="373"/>
      <c r="T14" s="374"/>
      <c r="U14" s="374"/>
      <c r="V14" s="373">
        <f>+V53+V58+V63+V69+V75+V80+V86+V91+V96+V101+V106+V111+V116+V121+V127+V133+V139+V144+V149+V174+V23+V29+V47+V35+V154+V159+V164+V169+V41</f>
        <v>6085389</v>
      </c>
      <c r="W14" s="377"/>
      <c r="X14" s="373"/>
      <c r="Y14" s="374"/>
      <c r="Z14" s="374"/>
      <c r="AA14" s="373">
        <f>+AA53+AA58+AA63+AA69+AA75+AA80+AA86+AA91+AA96+AA101+AA106+AA111+AA116+AA121+AA127+AA133+AA139+AA144+AA149+AA174+AA23+AA29+AA47+AA35+AA154+AA159+AA164+AA169+AA41</f>
        <v>8992564</v>
      </c>
      <c r="AB14" s="377"/>
      <c r="AC14" s="373"/>
      <c r="AD14" s="374"/>
      <c r="AE14" s="374"/>
      <c r="AF14" s="373">
        <f>+AF53+AF58+AF63+AF69+AF75+AF80+AF86+AF91+AF96+AF101+AF106+AF111+AF116+AF121+AF127+AF133+AF139+AF144+AF149+AF174+AF23+AF29+AF47+AF35+AF154+AF159+AF164+AF169+AF41</f>
        <v>6877121</v>
      </c>
      <c r="AG14" s="377"/>
      <c r="AH14" s="373"/>
      <c r="AI14" s="374"/>
      <c r="AJ14" s="374"/>
      <c r="AK14" s="373">
        <f>+AK53+AK58+AK63+AK69+AK75+AK80+AK86+AK91+AK96+AK101+AK106+AK111+AK116+AK121+AK127+AK133+AK139+AK144+AK149+AK174+AK23+AK29+AK47+AK35+AK154+AK159+AK164+AK169+AK41</f>
        <v>10836667</v>
      </c>
      <c r="AL14" s="377"/>
      <c r="AM14" s="373"/>
      <c r="AN14" s="374"/>
      <c r="AO14" s="374"/>
      <c r="AP14" s="373">
        <f>+AP53+AP58+AP63+AP69+AP75+AP80+AP86+AP91+AP96+AP101+AP106+AP111+AP116+AP121+AP127+AP133+AP139+AP144+AP149+AP174+AP23+AP29+AP47+AP35+AP154+AP159+AP164+AP169+AP41</f>
        <v>9026146</v>
      </c>
      <c r="AQ14" s="377"/>
      <c r="AR14" s="373"/>
      <c r="AS14" s="374"/>
      <c r="AT14" s="374"/>
      <c r="AU14" s="373">
        <f>+AU53+AU58+AU63+AU69+AU75+AU80+AU86+AU91+AU96+AU101+AU106+AU111+AU116+AU121+AU127+AU133+AU139+AU144+AU149+AU174+AU23+AU29+AU47+AU35+AU154+AU159+AU164+AU169+AU41</f>
        <v>7195171</v>
      </c>
      <c r="AV14" s="377"/>
      <c r="AW14" s="373"/>
      <c r="AX14" s="374"/>
      <c r="AY14" s="374"/>
      <c r="AZ14" s="373">
        <f>+AZ53+AZ58+AZ63+AZ69+AZ75+AZ80+AZ86+AZ91+AZ96+AZ101+AZ106+AZ111+AZ116+AZ121+AZ127+AZ133+AZ139+AZ144+AZ149+AZ174+AZ23+AZ29+AZ47+AZ35+AZ154+AZ159+AZ164+AZ169+AZ41</f>
        <v>6333842</v>
      </c>
      <c r="BA14" s="377"/>
      <c r="BB14" s="373"/>
      <c r="BC14" s="374"/>
      <c r="BD14" s="374"/>
      <c r="BE14" s="373">
        <f>+BE53+BE58+BE63+BE69+BE75+BE80+BE86+BE91+BE96+BE101+BE106+BE111+BE116+BE121+BE127+BE133+BE139+BE144+BE149+BE174+BE23+BE29+BE47+BE35+BE154+BE159+BE164+BE169+BE41</f>
        <v>3989426</v>
      </c>
      <c r="BF14" s="377"/>
      <c r="BG14" s="373"/>
      <c r="BH14" s="374"/>
      <c r="BI14" s="374"/>
      <c r="BJ14" s="373">
        <f>+BJ53+BJ58+BJ63+BJ69+BJ75+BJ80+BJ86+BJ91+BJ96+BJ101+BJ106+BJ111+BJ116+BJ121+BJ127+BJ133+BJ139+BJ144+BJ149+BJ174+BJ23+BJ29+BJ47+BJ35+BJ154+BJ159+BJ164+BJ169+BJ41</f>
        <v>0</v>
      </c>
      <c r="BK14" s="377"/>
      <c r="BL14" s="373"/>
      <c r="BM14" s="374"/>
      <c r="BN14" s="374"/>
      <c r="BO14" s="373">
        <f>+BO53+BO58+BO63+BO69+BO75+BO80+BO86+BO91+BO96+BO101+BO106+BO111+BO116+BO121+BO127+BO133+BO139+BO144+BO149+BO174+BO23+BO29+BO47+BO35+BO154+BO159+BO164+BO169+BO41</f>
        <v>0</v>
      </c>
      <c r="BP14" s="377"/>
      <c r="BQ14" s="373"/>
      <c r="BR14" s="374"/>
      <c r="BS14" s="374"/>
      <c r="BT14" s="373">
        <f>+BT53+BT58+BT63+BT69+BT75+BT80+BT86+BT91+BT96+BT101+BT106+BT111+BT116+BT121+BT127+BT133+BT139+BT144+BT149+BT174+BT23+BT29+BT47+BT35+BT154+BT159+BT164+BT169+BT41</f>
        <v>67694299</v>
      </c>
      <c r="BU14" s="377"/>
      <c r="BV14" s="373"/>
      <c r="BW14" s="9"/>
      <c r="BZ14" s="10"/>
      <c r="CA14" s="10"/>
      <c r="CB14" s="376"/>
    </row>
    <row r="15" spans="4:80" x14ac:dyDescent="0.2">
      <c r="D15" s="9" t="s">
        <v>340</v>
      </c>
      <c r="F15" s="156"/>
      <c r="G15" s="318">
        <v>0</v>
      </c>
      <c r="H15" s="150"/>
      <c r="J15" s="156"/>
      <c r="K15" s="156"/>
      <c r="L15" s="373">
        <f>+L54+L59+L64+L70+L76+L81+L87+L92+L97+L102+L107+L112+L117+L122+L128+L134+L140+L145+L150+L175+L24+L30+L48+L36+L155+L160+L165+L170+L42</f>
        <v>-376261</v>
      </c>
      <c r="M15" s="377"/>
      <c r="N15" s="373"/>
      <c r="O15" s="374"/>
      <c r="P15" s="374"/>
      <c r="Q15" s="373">
        <f>+Q54+Q59+Q64+Q70+Q76+Q81+Q87+Q92+Q97+Q102+Q107+Q112+Q117+Q122+Q128+Q134+Q140+Q145+Q150+Q175+Q24+Q30+Q48+Q36+Q155+Q160+Q165+Q170+Q42</f>
        <v>-1466989</v>
      </c>
      <c r="R15" s="377"/>
      <c r="S15" s="373"/>
      <c r="T15" s="374"/>
      <c r="U15" s="374"/>
      <c r="V15" s="373">
        <f>+V54+V59+V64+V70+V76+V81+V87+V92+V97+V102+V107+V112+V117+V122+V128+V134+V140+V145+V150+V175+V24+V30+V48+V36+V155+V160+V165+V170+V42</f>
        <v>-764417</v>
      </c>
      <c r="W15" s="377"/>
      <c r="X15" s="373"/>
      <c r="Y15" s="374"/>
      <c r="Z15" s="374"/>
      <c r="AA15" s="373">
        <f>+AA54+AA59+AA64+AA70+AA76+AA81+AA87+AA92+AA97+AA102+AA107+AA112+AA117+AA122+AA128+AA134+AA140+AA145+AA150+AA175+AA24+AA30+AA48+AA36+AA155+AA160+AA165+AA170+AA42</f>
        <v>-2780721</v>
      </c>
      <c r="AB15" s="377"/>
      <c r="AC15" s="373"/>
      <c r="AD15" s="374"/>
      <c r="AE15" s="374"/>
      <c r="AF15" s="373">
        <f>+AF54+AF59+AF64+AF70+AF76+AF81+AF87+AF92+AF97+AF102+AF107+AF112+AF117+AF122+AF128+AF134+AF140+AF145+AF150+AF175+AF24+AF30+AF48+AF36+AF155+AF160+AF165+AF170+AF42</f>
        <v>-1213553</v>
      </c>
      <c r="AG15" s="377"/>
      <c r="AH15" s="373"/>
      <c r="AI15" s="374"/>
      <c r="AJ15" s="374"/>
      <c r="AK15" s="373">
        <f>+AK54+AK59+AK64+AK70+AK76+AK81+AK87+AK92+AK97+AK102+AK107+AK112+AK117+AK122+AK128+AK134+AK140+AK145+AK150+AK175+AK24+AK30+AK48+AK36+AK155+AK160+AK165+AK170+AK42</f>
        <v>-716835</v>
      </c>
      <c r="AL15" s="377"/>
      <c r="AM15" s="373"/>
      <c r="AN15" s="374"/>
      <c r="AO15" s="374"/>
      <c r="AP15" s="373">
        <f>+AP54+AP59+AP64+AP70+AP76+AP81+AP87+AP92+AP97+AP102+AP107+AP112+AP117+AP122+AP128+AP134+AP140+AP145+AP150+AP175+AP24+AP30+AP48+AP36+AP155+AP160+AP165+AP170+AP42</f>
        <v>-2010551</v>
      </c>
      <c r="AQ15" s="377"/>
      <c r="AR15" s="373"/>
      <c r="AS15" s="374"/>
      <c r="AT15" s="374"/>
      <c r="AU15" s="373">
        <f>+AU54+AU59+AU64+AU70+AU76+AU81+AU87+AU92+AU97+AU102+AU107+AU112+AU117+AU122+AU128+AU134+AU140+AU145+AU150+AU175+AU24+AU30+AU48+AU36+AU155+AU160+AU165+AU170+AU42</f>
        <v>-777625</v>
      </c>
      <c r="AV15" s="377"/>
      <c r="AW15" s="373"/>
      <c r="AX15" s="374"/>
      <c r="AY15" s="374"/>
      <c r="AZ15" s="373">
        <f>+AZ54+AZ59+AZ64+AZ70+AZ76+AZ81+AZ87+AZ92+AZ97+AZ102+AZ107+AZ112+AZ117+AZ122+AZ128+AZ134+AZ140+AZ145+AZ150+AZ175+AZ24+AZ30+AZ48+AZ36+AZ155+AZ160+AZ165+AZ170+AZ42</f>
        <v>-2213621</v>
      </c>
      <c r="BA15" s="377"/>
      <c r="BB15" s="373"/>
      <c r="BC15" s="374"/>
      <c r="BD15" s="374"/>
      <c r="BE15" s="373">
        <f>+BE54+BE59+BE64+BE70+BE76+BE81+BE87+BE92+BE97+BE102+BE107+BE112+BE117+BE122+BE128+BE134+BE140+BE145+BE150+BE175+BE24+BE30+BE48+BE36+BE155+BE160+BE165+BE170+BE42</f>
        <v>-1216723</v>
      </c>
      <c r="BF15" s="377"/>
      <c r="BG15" s="373"/>
      <c r="BH15" s="374"/>
      <c r="BI15" s="374"/>
      <c r="BJ15" s="373">
        <f>+BJ54+BJ59+BJ64+BJ70+BJ76+BJ81+BJ87+BJ92+BJ97+BJ102+BJ107+BJ112+BJ117+BJ122+BJ128+BJ134+BJ140+BJ145+BJ150+BJ175+BJ24+BJ30+BJ48+BJ36+BJ155+BJ160+BJ165+BJ170+BJ42</f>
        <v>0</v>
      </c>
      <c r="BK15" s="377"/>
      <c r="BL15" s="373"/>
      <c r="BM15" s="374"/>
      <c r="BN15" s="374"/>
      <c r="BO15" s="373">
        <f>+BO54+BO59+BO64+BO70+BO76+BO81+BO87+BO92+BO97+BO102+BO107+BO112+BO117+BO122+BO128+BO134+BO140+BO145+BO150+BO175+BO24+BO30+BO48+BO36+BO155+BO160+BO165+BO170+BO42</f>
        <v>0</v>
      </c>
      <c r="BP15" s="377"/>
      <c r="BQ15" s="373"/>
      <c r="BR15" s="374"/>
      <c r="BS15" s="374"/>
      <c r="BT15" s="373">
        <f>+BT54+BT59+BT64+BT70+BT76+BT81+BT87+BT92+BT97+BT102+BT107+BT112+BT117+BT122+BT128+BT134+BT140+BT145+BT150+BT175+BT24+BT30+BT48+BT36+BT155+BT160+BT165+BT170+BT42</f>
        <v>-13537296</v>
      </c>
      <c r="BU15" s="377"/>
      <c r="BV15" s="373"/>
      <c r="BW15" s="9"/>
      <c r="BZ15" s="10"/>
      <c r="CA15" s="10"/>
      <c r="CB15" s="376"/>
    </row>
    <row r="16" spans="4:80" x14ac:dyDescent="0.2">
      <c r="D16" s="9" t="s">
        <v>341</v>
      </c>
      <c r="F16" s="320"/>
      <c r="G16" s="321">
        <v>0</v>
      </c>
      <c r="H16" s="162"/>
      <c r="J16" s="156"/>
      <c r="K16" s="320"/>
      <c r="L16" s="158">
        <f>+L65+L71+L82+L123+L129+L135+L25+L31+L49+L37+L43</f>
        <v>2018135</v>
      </c>
      <c r="M16" s="162"/>
      <c r="O16" s="156"/>
      <c r="P16" s="320"/>
      <c r="Q16" s="158">
        <f>+Q65+Q71+Q82+Q123+Q129+Q135+Q25+Q31+Q49+Q37+Q43</f>
        <v>1702088.4509999999</v>
      </c>
      <c r="R16" s="162"/>
      <c r="T16" s="156"/>
      <c r="U16" s="320"/>
      <c r="V16" s="158">
        <f>+V65+V71+V82+V123+V129+V135+V25+V31+V49+V37+V43</f>
        <v>2453020</v>
      </c>
      <c r="W16" s="162"/>
      <c r="Y16" s="156"/>
      <c r="Z16" s="320"/>
      <c r="AA16" s="158">
        <f>+AA65+AA71+AA82+AA123+AA129+AA135+AA25+AA31+AA49+AA37+AA43</f>
        <v>3947663</v>
      </c>
      <c r="AB16" s="162"/>
      <c r="AD16" s="156"/>
      <c r="AE16" s="320"/>
      <c r="AF16" s="158">
        <f>+AF65+AF71+AF82+AF123+AF129+AF135+AF25+AF31+AF49+AF37+AF43</f>
        <v>3082152</v>
      </c>
      <c r="AG16" s="162"/>
      <c r="AI16" s="156"/>
      <c r="AJ16" s="320"/>
      <c r="AK16" s="158">
        <f>+AK65+AK71+AK82+AK123+AK129+AK135+AK25+AK31+AK49+AK37+AK43</f>
        <v>4288478</v>
      </c>
      <c r="AL16" s="162"/>
      <c r="AN16" s="156"/>
      <c r="AO16" s="320"/>
      <c r="AP16" s="158">
        <f>+AP65+AP71+AP82+AP123+AP129+AP135+AP25+AP31+AP49+AP37+AP43</f>
        <v>3115855</v>
      </c>
      <c r="AQ16" s="162"/>
      <c r="AS16" s="156"/>
      <c r="AT16" s="320"/>
      <c r="AU16" s="158">
        <f>+AU65+AU71+AU82+AU123+AU129+AU135+AU25+AU31+AU49+AU37+AU43</f>
        <v>3155729</v>
      </c>
      <c r="AV16" s="162"/>
      <c r="AX16" s="156"/>
      <c r="AY16" s="320"/>
      <c r="AZ16" s="158">
        <f>+AZ65+AZ71+AZ82+AZ123+AZ129+AZ135+AZ25+AZ31+AZ49+AZ37+AZ43</f>
        <v>3106316</v>
      </c>
      <c r="BA16" s="162"/>
      <c r="BC16" s="156"/>
      <c r="BD16" s="320"/>
      <c r="BE16" s="158">
        <f>+BE65+BE71+BE82+BE123+BE129+BE135+BE25+BE31+BE49+BE37+BE43</f>
        <v>1724690</v>
      </c>
      <c r="BF16" s="162"/>
      <c r="BH16" s="156"/>
      <c r="BI16" s="320"/>
      <c r="BJ16" s="158">
        <f>+BJ65+BJ71+BJ82+BJ123+BJ129+BJ135+BJ25+BJ31+BJ49+BJ37+BJ43</f>
        <v>0</v>
      </c>
      <c r="BK16" s="162"/>
      <c r="BM16" s="156"/>
      <c r="BN16" s="320"/>
      <c r="BO16" s="158">
        <f>+BO65+BO71+BO82+BO123+BO129+BO135+BO25+BO31+BO49+BO37+BO43</f>
        <v>0</v>
      </c>
      <c r="BP16" s="162"/>
      <c r="BR16" s="156"/>
      <c r="BS16" s="320"/>
      <c r="BT16" s="158">
        <f>+BT65+BT71+BT82+BT123+BT129+BT135+BT25+BT31+BT49+BT37+BT43</f>
        <v>28594126.450999998</v>
      </c>
      <c r="BU16" s="162"/>
      <c r="BW16" s="9"/>
      <c r="BZ16" s="10"/>
      <c r="CA16" s="10"/>
    </row>
    <row r="17" spans="4:79" x14ac:dyDescent="0.2">
      <c r="D17" s="9"/>
      <c r="G17" s="373"/>
      <c r="H17" s="373"/>
      <c r="I17" s="373"/>
      <c r="J17" s="374"/>
      <c r="K17" s="373"/>
      <c r="L17" s="373"/>
      <c r="M17" s="373"/>
      <c r="N17" s="373"/>
      <c r="O17" s="374"/>
      <c r="P17" s="373"/>
      <c r="Q17" s="373"/>
      <c r="R17" s="373"/>
      <c r="S17" s="373"/>
      <c r="T17" s="374"/>
      <c r="U17" s="373"/>
      <c r="V17" s="373"/>
      <c r="W17" s="373"/>
      <c r="X17" s="373"/>
      <c r="Y17" s="374"/>
      <c r="Z17" s="373"/>
      <c r="AA17" s="373"/>
      <c r="AB17" s="373"/>
      <c r="AC17" s="373"/>
      <c r="AD17" s="374"/>
      <c r="AE17" s="373"/>
      <c r="AF17" s="373"/>
      <c r="AG17" s="373"/>
      <c r="AH17" s="373"/>
      <c r="AI17" s="374"/>
      <c r="AJ17" s="373"/>
      <c r="AK17" s="373"/>
      <c r="AL17" s="373"/>
      <c r="AM17" s="373"/>
      <c r="AN17" s="374"/>
      <c r="AO17" s="373"/>
      <c r="AP17" s="373"/>
      <c r="AQ17" s="373"/>
      <c r="AR17" s="373"/>
      <c r="AS17" s="374"/>
      <c r="AT17" s="373"/>
      <c r="AU17" s="373"/>
      <c r="AV17" s="373"/>
      <c r="AW17" s="373"/>
      <c r="AX17" s="374"/>
      <c r="AY17" s="373"/>
      <c r="AZ17" s="373"/>
      <c r="BA17" s="373"/>
      <c r="BB17" s="373"/>
      <c r="BC17" s="374"/>
      <c r="BD17" s="373"/>
      <c r="BE17" s="373"/>
      <c r="BF17" s="373"/>
      <c r="BG17" s="373"/>
      <c r="BH17" s="374"/>
      <c r="BI17" s="373"/>
      <c r="BJ17" s="373"/>
      <c r="BK17" s="373"/>
      <c r="BL17" s="373"/>
      <c r="BM17" s="374"/>
      <c r="BN17" s="373"/>
      <c r="BO17" s="373"/>
      <c r="BP17" s="373"/>
      <c r="BQ17" s="373"/>
      <c r="BR17" s="374"/>
      <c r="BS17" s="373"/>
      <c r="BT17" s="373"/>
      <c r="BU17" s="373"/>
      <c r="BV17" s="373"/>
      <c r="BW17" s="9"/>
      <c r="BZ17" s="10"/>
      <c r="CA17" s="10"/>
    </row>
    <row r="18" spans="4:79" ht="12.75" customHeight="1" x14ac:dyDescent="0.2">
      <c r="D18" s="9" t="s">
        <v>342</v>
      </c>
      <c r="G18" s="373">
        <f>SUM(G19:G19)</f>
        <v>0</v>
      </c>
      <c r="H18" s="373"/>
      <c r="I18" s="373"/>
      <c r="J18" s="374"/>
      <c r="K18" s="373"/>
      <c r="L18" s="373">
        <f>SUM(L19:L19)</f>
        <v>2634484</v>
      </c>
      <c r="M18" s="373"/>
      <c r="N18" s="373"/>
      <c r="O18" s="374"/>
      <c r="P18" s="373"/>
      <c r="Q18" s="373">
        <f>SUM(Q19:Q19)</f>
        <v>1723199.2930000001</v>
      </c>
      <c r="R18" s="373"/>
      <c r="S18" s="373"/>
      <c r="T18" s="374"/>
      <c r="U18" s="373"/>
      <c r="V18" s="373">
        <f>SUM(V19:V19)</f>
        <v>575828</v>
      </c>
      <c r="W18" s="373"/>
      <c r="X18" s="373"/>
      <c r="Y18" s="374"/>
      <c r="Z18" s="373"/>
      <c r="AA18" s="373">
        <f>SUM(AA19:AA19)</f>
        <v>349368</v>
      </c>
      <c r="AB18" s="373"/>
      <c r="AC18" s="373"/>
      <c r="AD18" s="374"/>
      <c r="AE18" s="373"/>
      <c r="AF18" s="373">
        <f>SUM(AF19:AF19)</f>
        <v>358206</v>
      </c>
      <c r="AG18" s="373"/>
      <c r="AH18" s="373"/>
      <c r="AI18" s="374"/>
      <c r="AJ18" s="373"/>
      <c r="AK18" s="373">
        <f>SUM(AK19:AK19)</f>
        <v>536365</v>
      </c>
      <c r="AL18" s="373"/>
      <c r="AM18" s="373"/>
      <c r="AN18" s="374"/>
      <c r="AO18" s="373"/>
      <c r="AP18" s="373">
        <f>SUM(AP19:AP19)</f>
        <v>368566</v>
      </c>
      <c r="AQ18" s="373"/>
      <c r="AR18" s="373"/>
      <c r="AS18" s="374"/>
      <c r="AT18" s="373"/>
      <c r="AU18" s="373">
        <f>SUM(AU19:AU19)</f>
        <v>392181</v>
      </c>
      <c r="AV18" s="373"/>
      <c r="AW18" s="373"/>
      <c r="AX18" s="374"/>
      <c r="AY18" s="373"/>
      <c r="AZ18" s="373">
        <f>SUM(AZ19:AZ19)</f>
        <v>341082</v>
      </c>
      <c r="BA18" s="373"/>
      <c r="BB18" s="373"/>
      <c r="BC18" s="374"/>
      <c r="BD18" s="373"/>
      <c r="BE18" s="373">
        <f>SUM(BE19:BE19)</f>
        <v>337948</v>
      </c>
      <c r="BF18" s="373"/>
      <c r="BG18" s="373"/>
      <c r="BH18" s="374"/>
      <c r="BI18" s="373"/>
      <c r="BJ18" s="373">
        <f>SUM(BJ19:BJ19)</f>
        <v>0</v>
      </c>
      <c r="BK18" s="373"/>
      <c r="BL18" s="373"/>
      <c r="BM18" s="374"/>
      <c r="BN18" s="373"/>
      <c r="BO18" s="373">
        <f>SUM(BO19:BO19)</f>
        <v>0</v>
      </c>
      <c r="BP18" s="373"/>
      <c r="BQ18" s="373"/>
      <c r="BR18" s="374"/>
      <c r="BS18" s="373"/>
      <c r="BT18" s="373">
        <f>SUM(BT19:BT19)</f>
        <v>7617227.2929999996</v>
      </c>
      <c r="BU18" s="373"/>
      <c r="BV18" s="373"/>
      <c r="BW18" s="9"/>
      <c r="BZ18" s="10"/>
      <c r="CA18" s="10"/>
    </row>
    <row r="19" spans="4:79" x14ac:dyDescent="0.2">
      <c r="D19" s="319" t="s">
        <v>343</v>
      </c>
      <c r="E19" s="374"/>
      <c r="F19" s="378"/>
      <c r="G19" s="379">
        <v>0</v>
      </c>
      <c r="H19" s="380"/>
      <c r="I19" s="373"/>
      <c r="J19" s="374"/>
      <c r="K19" s="381"/>
      <c r="L19" s="379">
        <v>2634484</v>
      </c>
      <c r="M19" s="380"/>
      <c r="N19" s="373"/>
      <c r="O19" s="374"/>
      <c r="P19" s="381"/>
      <c r="Q19" s="382">
        <v>1723199.2930000001</v>
      </c>
      <c r="R19" s="380"/>
      <c r="S19" s="373"/>
      <c r="T19" s="374"/>
      <c r="U19" s="381"/>
      <c r="V19" s="382">
        <v>575828</v>
      </c>
      <c r="W19" s="380"/>
      <c r="X19" s="373"/>
      <c r="Y19" s="374"/>
      <c r="Z19" s="381"/>
      <c r="AA19" s="382">
        <v>349368</v>
      </c>
      <c r="AB19" s="380"/>
      <c r="AC19" s="373"/>
      <c r="AD19" s="374"/>
      <c r="AE19" s="381"/>
      <c r="AF19" s="382">
        <v>358206</v>
      </c>
      <c r="AG19" s="380"/>
      <c r="AH19" s="373"/>
      <c r="AI19" s="374"/>
      <c r="AJ19" s="381"/>
      <c r="AK19" s="382">
        <v>536365</v>
      </c>
      <c r="AL19" s="380"/>
      <c r="AM19" s="373"/>
      <c r="AN19" s="374"/>
      <c r="AO19" s="381"/>
      <c r="AP19" s="382">
        <v>368566</v>
      </c>
      <c r="AQ19" s="380"/>
      <c r="AR19" s="373"/>
      <c r="AS19" s="374"/>
      <c r="AT19" s="381"/>
      <c r="AU19" s="382">
        <v>392181</v>
      </c>
      <c r="AV19" s="380"/>
      <c r="AW19" s="373"/>
      <c r="AX19" s="374"/>
      <c r="AY19" s="381"/>
      <c r="AZ19" s="382">
        <v>341082</v>
      </c>
      <c r="BA19" s="380"/>
      <c r="BB19" s="373"/>
      <c r="BC19" s="374"/>
      <c r="BD19" s="381"/>
      <c r="BE19" s="382">
        <v>337948</v>
      </c>
      <c r="BF19" s="380"/>
      <c r="BG19" s="373"/>
      <c r="BH19" s="374"/>
      <c r="BI19" s="381"/>
      <c r="BJ19" s="382">
        <v>0</v>
      </c>
      <c r="BK19" s="380"/>
      <c r="BL19" s="373"/>
      <c r="BM19" s="374"/>
      <c r="BN19" s="381"/>
      <c r="BO19" s="382">
        <v>0</v>
      </c>
      <c r="BP19" s="380"/>
      <c r="BQ19" s="373"/>
      <c r="BR19" s="374"/>
      <c r="BS19" s="381"/>
      <c r="BT19" s="379">
        <f>SUM(L19:BO19)</f>
        <v>7617227.2929999996</v>
      </c>
      <c r="BU19" s="380"/>
      <c r="BV19" s="373"/>
      <c r="BW19" s="9"/>
      <c r="BZ19" s="10"/>
      <c r="CA19" s="10"/>
    </row>
    <row r="20" spans="4:79" x14ac:dyDescent="0.2">
      <c r="D20" s="383"/>
      <c r="E20" s="374"/>
      <c r="G20" s="373"/>
      <c r="H20" s="373"/>
      <c r="I20" s="373"/>
      <c r="J20" s="374"/>
      <c r="K20" s="373"/>
      <c r="L20" s="373"/>
      <c r="M20" s="373"/>
      <c r="N20" s="373"/>
      <c r="O20" s="374"/>
      <c r="P20" s="373"/>
      <c r="Q20" s="373"/>
      <c r="R20" s="373"/>
      <c r="S20" s="373"/>
      <c r="T20" s="374"/>
      <c r="U20" s="373"/>
      <c r="V20" s="373"/>
      <c r="W20" s="373"/>
      <c r="X20" s="373"/>
      <c r="Y20" s="374"/>
      <c r="Z20" s="373"/>
      <c r="AA20" s="373"/>
      <c r="AB20" s="373"/>
      <c r="AC20" s="373"/>
      <c r="AD20" s="374"/>
      <c r="AE20" s="373"/>
      <c r="AF20" s="373"/>
      <c r="AG20" s="373"/>
      <c r="AH20" s="373"/>
      <c r="AI20" s="374"/>
      <c r="AJ20" s="373"/>
      <c r="AK20" s="373"/>
      <c r="AL20" s="373"/>
      <c r="AM20" s="373"/>
      <c r="AN20" s="374"/>
      <c r="AO20" s="373"/>
      <c r="AP20" s="373"/>
      <c r="AQ20" s="373"/>
      <c r="AR20" s="373"/>
      <c r="AS20" s="374"/>
      <c r="AT20" s="373"/>
      <c r="AU20" s="373"/>
      <c r="AV20" s="373"/>
      <c r="AW20" s="373"/>
      <c r="AX20" s="374"/>
      <c r="AY20" s="373"/>
      <c r="AZ20" s="373"/>
      <c r="BA20" s="373"/>
      <c r="BB20" s="373"/>
      <c r="BC20" s="374"/>
      <c r="BD20" s="373"/>
      <c r="BE20" s="373"/>
      <c r="BF20" s="373"/>
      <c r="BG20" s="373"/>
      <c r="BH20" s="374"/>
      <c r="BI20" s="373"/>
      <c r="BJ20" s="373"/>
      <c r="BK20" s="373"/>
      <c r="BL20" s="373"/>
      <c r="BM20" s="374"/>
      <c r="BN20" s="373"/>
      <c r="BO20" s="373"/>
      <c r="BP20" s="373"/>
      <c r="BQ20" s="373"/>
      <c r="BR20" s="374"/>
      <c r="BS20" s="373"/>
      <c r="BT20" s="373"/>
      <c r="BU20" s="373"/>
      <c r="BV20" s="373"/>
      <c r="BW20" s="9"/>
      <c r="BZ20" s="10"/>
      <c r="CA20" s="10"/>
    </row>
    <row r="21" spans="4:79" ht="12.75" customHeight="1" x14ac:dyDescent="0.2">
      <c r="D21" s="9" t="s">
        <v>344</v>
      </c>
      <c r="E21" s="374"/>
      <c r="G21" s="373">
        <f>SUM(G22:G25)</f>
        <v>0</v>
      </c>
      <c r="H21" s="373"/>
      <c r="I21" s="373"/>
      <c r="J21" s="374"/>
      <c r="K21" s="373"/>
      <c r="L21" s="373">
        <f>SUM(L22:L25)</f>
        <v>1042197</v>
      </c>
      <c r="M21" s="373"/>
      <c r="N21" s="373"/>
      <c r="O21" s="374"/>
      <c r="P21" s="373"/>
      <c r="Q21" s="373">
        <f>SUM(Q22:Q25)</f>
        <v>1058402</v>
      </c>
      <c r="R21" s="373"/>
      <c r="S21" s="373"/>
      <c r="T21" s="374"/>
      <c r="U21" s="373"/>
      <c r="V21" s="373">
        <f>SUM(V22:V25)</f>
        <v>2103455</v>
      </c>
      <c r="W21" s="373"/>
      <c r="X21" s="373"/>
      <c r="Y21" s="374"/>
      <c r="Z21" s="373"/>
      <c r="AA21" s="373">
        <f>SUM(AA22:AA25)</f>
        <v>2696004</v>
      </c>
      <c r="AB21" s="373"/>
      <c r="AC21" s="373"/>
      <c r="AD21" s="374"/>
      <c r="AE21" s="373"/>
      <c r="AF21" s="373">
        <f>SUM(AF22:AF25)</f>
        <v>3471351</v>
      </c>
      <c r="AG21" s="373"/>
      <c r="AH21" s="373"/>
      <c r="AI21" s="374"/>
      <c r="AJ21" s="373"/>
      <c r="AK21" s="373">
        <f>SUM(AK22:AK25)</f>
        <v>2609265</v>
      </c>
      <c r="AL21" s="373"/>
      <c r="AM21" s="373"/>
      <c r="AN21" s="374"/>
      <c r="AO21" s="373"/>
      <c r="AP21" s="373">
        <f>SUM(AP22:AP25)</f>
        <v>1241741</v>
      </c>
      <c r="AQ21" s="373"/>
      <c r="AR21" s="373"/>
      <c r="AS21" s="374"/>
      <c r="AT21" s="373"/>
      <c r="AU21" s="373">
        <f>SUM(AU22:AU25)</f>
        <v>1223103</v>
      </c>
      <c r="AV21" s="373"/>
      <c r="AW21" s="373"/>
      <c r="AX21" s="374"/>
      <c r="AY21" s="373"/>
      <c r="AZ21" s="373">
        <f>SUM(AZ22:AZ25)</f>
        <v>2240063</v>
      </c>
      <c r="BA21" s="373"/>
      <c r="BB21" s="373"/>
      <c r="BC21" s="374"/>
      <c r="BD21" s="373"/>
      <c r="BE21" s="373">
        <f>SUM(BE22:BE25)</f>
        <v>3007073</v>
      </c>
      <c r="BF21" s="373"/>
      <c r="BG21" s="373"/>
      <c r="BH21" s="374"/>
      <c r="BI21" s="373"/>
      <c r="BJ21" s="373">
        <f>SUM(BJ22:BJ25)</f>
        <v>0</v>
      </c>
      <c r="BK21" s="373"/>
      <c r="BL21" s="373"/>
      <c r="BM21" s="374"/>
      <c r="BN21" s="373"/>
      <c r="BO21" s="373">
        <f>SUM(BO22:BO25)</f>
        <v>0</v>
      </c>
      <c r="BP21" s="373"/>
      <c r="BQ21" s="373"/>
      <c r="BR21" s="374"/>
      <c r="BS21" s="373"/>
      <c r="BT21" s="373">
        <f>SUM(BT22:BT25)</f>
        <v>20692654</v>
      </c>
      <c r="BU21" s="373"/>
      <c r="BV21" s="373"/>
      <c r="BW21" s="9"/>
      <c r="BZ21" s="10"/>
      <c r="CA21" s="10"/>
    </row>
    <row r="22" spans="4:79" ht="12.75" customHeight="1" x14ac:dyDescent="0.2">
      <c r="D22" s="9" t="s">
        <v>343</v>
      </c>
      <c r="E22" s="384"/>
      <c r="F22" s="309"/>
      <c r="G22" s="371">
        <v>0</v>
      </c>
      <c r="H22" s="372"/>
      <c r="I22" s="373"/>
      <c r="J22" s="374"/>
      <c r="K22" s="375"/>
      <c r="L22" s="371">
        <f>710000-92043</f>
        <v>617957</v>
      </c>
      <c r="M22" s="372"/>
      <c r="N22" s="373"/>
      <c r="O22" s="374"/>
      <c r="P22" s="375"/>
      <c r="Q22" s="371">
        <f>715000-81485</f>
        <v>633515</v>
      </c>
      <c r="R22" s="372"/>
      <c r="S22" s="373"/>
      <c r="T22" s="374"/>
      <c r="U22" s="375"/>
      <c r="V22" s="371">
        <f>1415000-155031</f>
        <v>1259969</v>
      </c>
      <c r="W22" s="372"/>
      <c r="X22" s="373"/>
      <c r="Y22" s="374"/>
      <c r="Z22" s="375"/>
      <c r="AA22" s="371">
        <f>1815000-207034</f>
        <v>1607966</v>
      </c>
      <c r="AB22" s="372"/>
      <c r="AC22" s="373"/>
      <c r="AD22" s="374"/>
      <c r="AE22" s="375"/>
      <c r="AF22" s="371">
        <f>2350000-217256</f>
        <v>2132744</v>
      </c>
      <c r="AG22" s="372"/>
      <c r="AH22" s="373"/>
      <c r="AI22" s="374"/>
      <c r="AJ22" s="375"/>
      <c r="AK22" s="371">
        <f>1770000-89469</f>
        <v>1680531</v>
      </c>
      <c r="AL22" s="372"/>
      <c r="AM22" s="373"/>
      <c r="AN22" s="374"/>
      <c r="AO22" s="375"/>
      <c r="AP22" s="371">
        <f>835000-51703</f>
        <v>783297</v>
      </c>
      <c r="AQ22" s="372"/>
      <c r="AR22" s="373"/>
      <c r="AS22" s="374"/>
      <c r="AT22" s="375"/>
      <c r="AU22" s="371">
        <f>815000-38172</f>
        <v>776828</v>
      </c>
      <c r="AV22" s="372"/>
      <c r="AW22" s="373"/>
      <c r="AX22" s="374"/>
      <c r="AY22" s="375"/>
      <c r="AZ22" s="371">
        <f>1490000-42009</f>
        <v>1447991</v>
      </c>
      <c r="BA22" s="372"/>
      <c r="BB22" s="373"/>
      <c r="BC22" s="374"/>
      <c r="BD22" s="375"/>
      <c r="BE22" s="371">
        <f>1995000-55951</f>
        <v>1939049</v>
      </c>
      <c r="BF22" s="372"/>
      <c r="BG22" s="373"/>
      <c r="BH22" s="374"/>
      <c r="BI22" s="375"/>
      <c r="BJ22" s="371">
        <v>0</v>
      </c>
      <c r="BK22" s="372"/>
      <c r="BL22" s="373"/>
      <c r="BM22" s="374"/>
      <c r="BN22" s="375"/>
      <c r="BO22" s="371">
        <v>0</v>
      </c>
      <c r="BP22" s="372"/>
      <c r="BQ22" s="373"/>
      <c r="BR22" s="374"/>
      <c r="BS22" s="375"/>
      <c r="BT22" s="371">
        <f>SUM(L22:BO22)</f>
        <v>12879847</v>
      </c>
      <c r="BU22" s="372"/>
      <c r="BV22" s="373"/>
      <c r="BW22" s="9"/>
      <c r="BZ22" s="10"/>
      <c r="CA22" s="10"/>
    </row>
    <row r="23" spans="4:79" ht="12.75" customHeight="1" x14ac:dyDescent="0.2">
      <c r="D23" s="9" t="s">
        <v>345</v>
      </c>
      <c r="E23" s="374"/>
      <c r="F23" s="156"/>
      <c r="G23" s="373">
        <v>0</v>
      </c>
      <c r="H23" s="377"/>
      <c r="I23" s="373"/>
      <c r="J23" s="374"/>
      <c r="K23" s="374"/>
      <c r="L23" s="373">
        <v>92043</v>
      </c>
      <c r="M23" s="377"/>
      <c r="N23" s="373"/>
      <c r="O23" s="374"/>
      <c r="P23" s="374"/>
      <c r="Q23" s="373">
        <v>81485</v>
      </c>
      <c r="R23" s="377"/>
      <c r="S23" s="373"/>
      <c r="T23" s="374"/>
      <c r="U23" s="374"/>
      <c r="V23" s="373">
        <v>155031</v>
      </c>
      <c r="W23" s="377"/>
      <c r="X23" s="373"/>
      <c r="Y23" s="374"/>
      <c r="Z23" s="374"/>
      <c r="AA23" s="373">
        <v>207034</v>
      </c>
      <c r="AB23" s="377"/>
      <c r="AC23" s="373"/>
      <c r="AD23" s="374"/>
      <c r="AE23" s="374"/>
      <c r="AF23" s="373">
        <v>217256</v>
      </c>
      <c r="AG23" s="377"/>
      <c r="AH23" s="373"/>
      <c r="AI23" s="374"/>
      <c r="AJ23" s="374"/>
      <c r="AK23" s="373">
        <v>89469</v>
      </c>
      <c r="AL23" s="377"/>
      <c r="AM23" s="373"/>
      <c r="AN23" s="374"/>
      <c r="AO23" s="374"/>
      <c r="AP23" s="373">
        <v>51703</v>
      </c>
      <c r="AQ23" s="377"/>
      <c r="AR23" s="373"/>
      <c r="AS23" s="374"/>
      <c r="AT23" s="374"/>
      <c r="AU23" s="373">
        <v>38172</v>
      </c>
      <c r="AV23" s="377"/>
      <c r="AW23" s="373"/>
      <c r="AX23" s="374"/>
      <c r="AY23" s="374"/>
      <c r="AZ23" s="373">
        <v>42009</v>
      </c>
      <c r="BA23" s="377"/>
      <c r="BB23" s="373"/>
      <c r="BC23" s="374"/>
      <c r="BD23" s="374"/>
      <c r="BE23" s="373">
        <v>55951</v>
      </c>
      <c r="BF23" s="377"/>
      <c r="BG23" s="373"/>
      <c r="BH23" s="374"/>
      <c r="BI23" s="374"/>
      <c r="BJ23" s="373">
        <v>0</v>
      </c>
      <c r="BK23" s="377"/>
      <c r="BL23" s="373"/>
      <c r="BM23" s="374"/>
      <c r="BN23" s="374"/>
      <c r="BO23" s="373">
        <v>0</v>
      </c>
      <c r="BP23" s="377"/>
      <c r="BQ23" s="373"/>
      <c r="BR23" s="374"/>
      <c r="BS23" s="374"/>
      <c r="BT23" s="373">
        <f>SUM(L23:BO23)</f>
        <v>1030153</v>
      </c>
      <c r="BU23" s="377"/>
      <c r="BV23" s="373"/>
      <c r="BW23" s="9"/>
      <c r="BZ23" s="10"/>
      <c r="CA23" s="10"/>
    </row>
    <row r="24" spans="4:79" ht="12.75" customHeight="1" x14ac:dyDescent="0.2">
      <c r="D24" s="9" t="s">
        <v>346</v>
      </c>
      <c r="E24" s="374"/>
      <c r="F24" s="156"/>
      <c r="G24" s="373">
        <v>0</v>
      </c>
      <c r="H24" s="377"/>
      <c r="I24" s="373"/>
      <c r="J24" s="374"/>
      <c r="K24" s="374"/>
      <c r="L24" s="373">
        <v>0</v>
      </c>
      <c r="M24" s="377"/>
      <c r="N24" s="373"/>
      <c r="O24" s="374"/>
      <c r="P24" s="374"/>
      <c r="Q24" s="373">
        <v>0</v>
      </c>
      <c r="R24" s="377"/>
      <c r="S24" s="373"/>
      <c r="T24" s="374"/>
      <c r="U24" s="374"/>
      <c r="V24" s="373">
        <v>0</v>
      </c>
      <c r="W24" s="377"/>
      <c r="X24" s="373"/>
      <c r="Y24" s="374"/>
      <c r="Z24" s="374"/>
      <c r="AA24" s="373">
        <v>0</v>
      </c>
      <c r="AB24" s="377"/>
      <c r="AC24" s="373"/>
      <c r="AD24" s="374"/>
      <c r="AE24" s="374"/>
      <c r="AF24" s="373">
        <v>0</v>
      </c>
      <c r="AG24" s="377"/>
      <c r="AH24" s="373"/>
      <c r="AI24" s="374"/>
      <c r="AJ24" s="374"/>
      <c r="AK24" s="373">
        <v>0</v>
      </c>
      <c r="AL24" s="377"/>
      <c r="AM24" s="373"/>
      <c r="AN24" s="374"/>
      <c r="AO24" s="374"/>
      <c r="AP24" s="373">
        <v>0</v>
      </c>
      <c r="AQ24" s="377"/>
      <c r="AR24" s="373"/>
      <c r="AS24" s="374"/>
      <c r="AT24" s="374"/>
      <c r="AU24" s="373">
        <v>0</v>
      </c>
      <c r="AV24" s="377"/>
      <c r="AW24" s="373"/>
      <c r="AX24" s="374"/>
      <c r="AY24" s="374"/>
      <c r="AZ24" s="373">
        <v>0</v>
      </c>
      <c r="BA24" s="377"/>
      <c r="BB24" s="373"/>
      <c r="BC24" s="374"/>
      <c r="BD24" s="374"/>
      <c r="BE24" s="373">
        <v>0</v>
      </c>
      <c r="BF24" s="377"/>
      <c r="BG24" s="373"/>
      <c r="BH24" s="374"/>
      <c r="BI24" s="374"/>
      <c r="BJ24" s="373">
        <v>0</v>
      </c>
      <c r="BK24" s="377"/>
      <c r="BL24" s="373"/>
      <c r="BM24" s="374"/>
      <c r="BN24" s="374"/>
      <c r="BO24" s="373">
        <v>0</v>
      </c>
      <c r="BP24" s="377"/>
      <c r="BQ24" s="373"/>
      <c r="BR24" s="374"/>
      <c r="BS24" s="374"/>
      <c r="BT24" s="373">
        <f>SUM(L24:BO24)</f>
        <v>0</v>
      </c>
      <c r="BU24" s="377"/>
      <c r="BV24" s="373"/>
      <c r="BW24" s="9"/>
      <c r="BZ24" s="10"/>
      <c r="CA24" s="10"/>
    </row>
    <row r="25" spans="4:79" ht="12.75" customHeight="1" x14ac:dyDescent="0.2">
      <c r="D25" s="9" t="s">
        <v>347</v>
      </c>
      <c r="E25" s="374"/>
      <c r="F25" s="320"/>
      <c r="G25" s="385">
        <v>0</v>
      </c>
      <c r="H25" s="386"/>
      <c r="I25" s="373"/>
      <c r="J25" s="374"/>
      <c r="K25" s="387"/>
      <c r="L25" s="385">
        <v>332197</v>
      </c>
      <c r="M25" s="386"/>
      <c r="N25" s="373"/>
      <c r="O25" s="374"/>
      <c r="P25" s="387"/>
      <c r="Q25" s="385">
        <v>343402</v>
      </c>
      <c r="R25" s="386"/>
      <c r="S25" s="373"/>
      <c r="T25" s="374"/>
      <c r="U25" s="387"/>
      <c r="V25" s="385">
        <v>688455</v>
      </c>
      <c r="W25" s="386"/>
      <c r="X25" s="373"/>
      <c r="Y25" s="374"/>
      <c r="Z25" s="387"/>
      <c r="AA25" s="385">
        <v>881004</v>
      </c>
      <c r="AB25" s="386"/>
      <c r="AC25" s="373"/>
      <c r="AD25" s="374"/>
      <c r="AE25" s="387"/>
      <c r="AF25" s="385">
        <v>1121351</v>
      </c>
      <c r="AG25" s="386"/>
      <c r="AH25" s="373"/>
      <c r="AI25" s="374"/>
      <c r="AJ25" s="387"/>
      <c r="AK25" s="385">
        <v>839265</v>
      </c>
      <c r="AL25" s="386"/>
      <c r="AM25" s="373"/>
      <c r="AN25" s="374"/>
      <c r="AO25" s="387"/>
      <c r="AP25" s="385">
        <v>406741</v>
      </c>
      <c r="AQ25" s="386"/>
      <c r="AR25" s="373"/>
      <c r="AS25" s="374"/>
      <c r="AT25" s="387"/>
      <c r="AU25" s="385">
        <v>408103</v>
      </c>
      <c r="AV25" s="386"/>
      <c r="AW25" s="373"/>
      <c r="AX25" s="374"/>
      <c r="AY25" s="387"/>
      <c r="AZ25" s="385">
        <v>750063</v>
      </c>
      <c r="BA25" s="386"/>
      <c r="BB25" s="373"/>
      <c r="BC25" s="374"/>
      <c r="BD25" s="387"/>
      <c r="BE25" s="385">
        <v>1012073</v>
      </c>
      <c r="BF25" s="386"/>
      <c r="BG25" s="373"/>
      <c r="BH25" s="374"/>
      <c r="BI25" s="387"/>
      <c r="BJ25" s="385">
        <v>0</v>
      </c>
      <c r="BK25" s="386"/>
      <c r="BL25" s="373"/>
      <c r="BM25" s="374"/>
      <c r="BN25" s="387"/>
      <c r="BO25" s="385">
        <v>0</v>
      </c>
      <c r="BP25" s="386"/>
      <c r="BQ25" s="373"/>
      <c r="BR25" s="374"/>
      <c r="BS25" s="387"/>
      <c r="BT25" s="385">
        <f>SUM(L25:BO25)</f>
        <v>6782654</v>
      </c>
      <c r="BU25" s="386"/>
      <c r="BV25" s="373"/>
      <c r="BW25" s="9"/>
      <c r="BZ25" s="10"/>
      <c r="CA25" s="10"/>
    </row>
    <row r="26" spans="4:79" x14ac:dyDescent="0.2">
      <c r="D26" s="9"/>
      <c r="E26" s="374"/>
      <c r="G26" s="373"/>
      <c r="H26" s="373"/>
      <c r="I26" s="373"/>
      <c r="J26" s="374"/>
      <c r="K26" s="373"/>
      <c r="L26" s="373"/>
      <c r="M26" s="373"/>
      <c r="N26" s="373"/>
      <c r="O26" s="374"/>
      <c r="P26" s="373"/>
      <c r="Q26" s="373"/>
      <c r="R26" s="373"/>
      <c r="S26" s="373"/>
      <c r="T26" s="374"/>
      <c r="U26" s="373"/>
      <c r="V26" s="373"/>
      <c r="W26" s="373"/>
      <c r="X26" s="373"/>
      <c r="Y26" s="374"/>
      <c r="Z26" s="373"/>
      <c r="AA26" s="373"/>
      <c r="AB26" s="373"/>
      <c r="AC26" s="373"/>
      <c r="AD26" s="374"/>
      <c r="AE26" s="373"/>
      <c r="AF26" s="373"/>
      <c r="AG26" s="373"/>
      <c r="AH26" s="373"/>
      <c r="AI26" s="374"/>
      <c r="AJ26" s="373"/>
      <c r="AK26" s="373"/>
      <c r="AL26" s="373"/>
      <c r="AM26" s="373"/>
      <c r="AN26" s="374"/>
      <c r="AO26" s="373"/>
      <c r="AP26" s="373"/>
      <c r="AQ26" s="373"/>
      <c r="AR26" s="373"/>
      <c r="AS26" s="374"/>
      <c r="AT26" s="373"/>
      <c r="AU26" s="373"/>
      <c r="AV26" s="373"/>
      <c r="AW26" s="373"/>
      <c r="AX26" s="374"/>
      <c r="AY26" s="373"/>
      <c r="AZ26" s="373"/>
      <c r="BA26" s="373"/>
      <c r="BB26" s="373"/>
      <c r="BC26" s="374"/>
      <c r="BD26" s="373"/>
      <c r="BE26" s="373"/>
      <c r="BF26" s="373"/>
      <c r="BG26" s="373"/>
      <c r="BH26" s="374"/>
      <c r="BI26" s="373"/>
      <c r="BJ26" s="373"/>
      <c r="BK26" s="373"/>
      <c r="BL26" s="373"/>
      <c r="BM26" s="374"/>
      <c r="BN26" s="373"/>
      <c r="BO26" s="373"/>
      <c r="BP26" s="373"/>
      <c r="BQ26" s="373"/>
      <c r="BR26" s="374"/>
      <c r="BS26" s="373"/>
      <c r="BT26" s="373"/>
      <c r="BU26" s="373"/>
      <c r="BV26" s="373"/>
      <c r="BW26" s="9"/>
      <c r="BZ26" s="10"/>
      <c r="CA26" s="10"/>
    </row>
    <row r="27" spans="4:79" ht="12.75" customHeight="1" x14ac:dyDescent="0.2">
      <c r="D27" s="9" t="s">
        <v>348</v>
      </c>
      <c r="E27" s="374"/>
      <c r="G27" s="373">
        <f>SUM(G28:G31)</f>
        <v>0</v>
      </c>
      <c r="H27" s="373"/>
      <c r="I27" s="373"/>
      <c r="J27" s="374"/>
      <c r="K27" s="373"/>
      <c r="L27" s="373">
        <f>SUM(L28:L31)</f>
        <v>785463</v>
      </c>
      <c r="M27" s="373"/>
      <c r="N27" s="373"/>
      <c r="O27" s="374"/>
      <c r="P27" s="373"/>
      <c r="Q27" s="373">
        <f>SUM(Q28:Q31)</f>
        <v>1376442.4509999999</v>
      </c>
      <c r="R27" s="373"/>
      <c r="S27" s="373"/>
      <c r="T27" s="374"/>
      <c r="U27" s="373"/>
      <c r="V27" s="373">
        <f>SUM(V28:V31)</f>
        <v>2570775</v>
      </c>
      <c r="W27" s="373"/>
      <c r="X27" s="373"/>
      <c r="Y27" s="374"/>
      <c r="Z27" s="373"/>
      <c r="AA27" s="373">
        <f>SUM(AA28:AA31)</f>
        <v>3551900</v>
      </c>
      <c r="AB27" s="373"/>
      <c r="AC27" s="373"/>
      <c r="AD27" s="374"/>
      <c r="AE27" s="373"/>
      <c r="AF27" s="373">
        <f>SUM(AF28:AF31)</f>
        <v>893093</v>
      </c>
      <c r="AG27" s="373"/>
      <c r="AH27" s="373"/>
      <c r="AI27" s="374"/>
      <c r="AJ27" s="373"/>
      <c r="AK27" s="373">
        <f>SUM(AK28:AK31)</f>
        <v>4673396</v>
      </c>
      <c r="AL27" s="373"/>
      <c r="AM27" s="373"/>
      <c r="AN27" s="374"/>
      <c r="AO27" s="373"/>
      <c r="AP27" s="373">
        <f>SUM(AP28:AP31)</f>
        <v>2503075</v>
      </c>
      <c r="AQ27" s="373"/>
      <c r="AR27" s="373"/>
      <c r="AS27" s="374"/>
      <c r="AT27" s="373"/>
      <c r="AU27" s="373">
        <f>SUM(AU28:AU31)</f>
        <v>2153351</v>
      </c>
      <c r="AV27" s="373"/>
      <c r="AW27" s="373"/>
      <c r="AX27" s="374"/>
      <c r="AY27" s="373"/>
      <c r="AZ27" s="373">
        <f>SUM(AZ28:AZ31)</f>
        <v>2186436</v>
      </c>
      <c r="BA27" s="373"/>
      <c r="BB27" s="373"/>
      <c r="BC27" s="374"/>
      <c r="BD27" s="373"/>
      <c r="BE27" s="373">
        <f>SUM(BE28:BE31)</f>
        <v>482233</v>
      </c>
      <c r="BF27" s="373"/>
      <c r="BG27" s="373"/>
      <c r="BH27" s="374"/>
      <c r="BI27" s="373"/>
      <c r="BJ27" s="373">
        <f>SUM(BJ28:BJ31)</f>
        <v>0</v>
      </c>
      <c r="BK27" s="373"/>
      <c r="BL27" s="373"/>
      <c r="BM27" s="374"/>
      <c r="BN27" s="373"/>
      <c r="BO27" s="373">
        <f>SUM(BO28:BO31)</f>
        <v>0</v>
      </c>
      <c r="BP27" s="373"/>
      <c r="BQ27" s="373"/>
      <c r="BR27" s="374"/>
      <c r="BS27" s="373"/>
      <c r="BT27" s="373">
        <f>SUM(BT28:BT31)</f>
        <v>21176164.450999998</v>
      </c>
      <c r="BU27" s="373"/>
      <c r="BV27" s="373"/>
      <c r="BW27" s="9"/>
      <c r="BZ27" s="10"/>
      <c r="CA27" s="10"/>
    </row>
    <row r="28" spans="4:79" ht="12.75" customHeight="1" x14ac:dyDescent="0.2">
      <c r="D28" s="9" t="s">
        <v>343</v>
      </c>
      <c r="E28" s="374"/>
      <c r="F28" s="309"/>
      <c r="G28" s="371">
        <v>0</v>
      </c>
      <c r="H28" s="372"/>
      <c r="I28" s="373"/>
      <c r="J28" s="374"/>
      <c r="K28" s="375"/>
      <c r="L28" s="371">
        <f>535000-248436</f>
        <v>286564</v>
      </c>
      <c r="M28" s="372"/>
      <c r="N28" s="373"/>
      <c r="O28" s="374"/>
      <c r="P28" s="375"/>
      <c r="Q28" s="371">
        <f>930000-392511</f>
        <v>537489</v>
      </c>
      <c r="R28" s="372"/>
      <c r="S28" s="373"/>
      <c r="T28" s="374"/>
      <c r="U28" s="375"/>
      <c r="V28" s="371">
        <f>1730000-716748</f>
        <v>1013252</v>
      </c>
      <c r="W28" s="372"/>
      <c r="X28" s="373"/>
      <c r="Y28" s="374"/>
      <c r="Z28" s="375"/>
      <c r="AA28" s="371">
        <f>2390000-1077832</f>
        <v>1312168</v>
      </c>
      <c r="AB28" s="372"/>
      <c r="AC28" s="373"/>
      <c r="AD28" s="374"/>
      <c r="AE28" s="375"/>
      <c r="AF28" s="371">
        <f>605000-265407</f>
        <v>339593</v>
      </c>
      <c r="AG28" s="372"/>
      <c r="AH28" s="373"/>
      <c r="AI28" s="374"/>
      <c r="AJ28" s="375"/>
      <c r="AK28" s="371">
        <f>3165000-1330925</f>
        <v>1834075</v>
      </c>
      <c r="AL28" s="372"/>
      <c r="AM28" s="373"/>
      <c r="AN28" s="374"/>
      <c r="AO28" s="375"/>
      <c r="AP28" s="371">
        <f>1680000-749012</f>
        <v>930988</v>
      </c>
      <c r="AQ28" s="372"/>
      <c r="AR28" s="373"/>
      <c r="AS28" s="374"/>
      <c r="AT28" s="375"/>
      <c r="AU28" s="371">
        <f>1435000-630623</f>
        <v>804377</v>
      </c>
      <c r="AV28" s="372"/>
      <c r="AW28" s="373"/>
      <c r="AX28" s="374"/>
      <c r="AY28" s="375"/>
      <c r="AZ28" s="371">
        <f>1455000-613374</f>
        <v>841626</v>
      </c>
      <c r="BA28" s="372"/>
      <c r="BB28" s="373"/>
      <c r="BC28" s="374"/>
      <c r="BD28" s="375"/>
      <c r="BE28" s="371">
        <f>320000-125783</f>
        <v>194217</v>
      </c>
      <c r="BF28" s="372"/>
      <c r="BG28" s="373"/>
      <c r="BH28" s="374"/>
      <c r="BI28" s="375"/>
      <c r="BJ28" s="371">
        <v>0</v>
      </c>
      <c r="BK28" s="372"/>
      <c r="BL28" s="373"/>
      <c r="BM28" s="374"/>
      <c r="BN28" s="375"/>
      <c r="BO28" s="371">
        <v>0</v>
      </c>
      <c r="BP28" s="372"/>
      <c r="BQ28" s="373"/>
      <c r="BR28" s="374"/>
      <c r="BS28" s="375"/>
      <c r="BT28" s="371">
        <f>SUM(L28:BO28)</f>
        <v>8094349</v>
      </c>
      <c r="BU28" s="372"/>
      <c r="BV28" s="373"/>
      <c r="BW28" s="9"/>
      <c r="BZ28" s="10"/>
      <c r="CA28" s="10"/>
    </row>
    <row r="29" spans="4:79" ht="12.75" customHeight="1" x14ac:dyDescent="0.2">
      <c r="D29" s="9" t="s">
        <v>345</v>
      </c>
      <c r="E29" s="374"/>
      <c r="F29" s="156"/>
      <c r="G29" s="373">
        <v>0</v>
      </c>
      <c r="H29" s="377"/>
      <c r="I29" s="373"/>
      <c r="J29" s="374"/>
      <c r="K29" s="374"/>
      <c r="L29" s="373">
        <v>248436</v>
      </c>
      <c r="M29" s="377"/>
      <c r="N29" s="373"/>
      <c r="O29" s="374"/>
      <c r="P29" s="374"/>
      <c r="Q29" s="373">
        <v>392511</v>
      </c>
      <c r="R29" s="377"/>
      <c r="S29" s="373"/>
      <c r="T29" s="374"/>
      <c r="U29" s="374"/>
      <c r="V29" s="373">
        <v>716748</v>
      </c>
      <c r="W29" s="377"/>
      <c r="X29" s="373"/>
      <c r="Y29" s="374"/>
      <c r="Z29" s="374"/>
      <c r="AA29" s="373">
        <v>1077832</v>
      </c>
      <c r="AB29" s="377"/>
      <c r="AC29" s="373"/>
      <c r="AD29" s="374"/>
      <c r="AE29" s="374"/>
      <c r="AF29" s="373">
        <v>265407</v>
      </c>
      <c r="AG29" s="377"/>
      <c r="AH29" s="373"/>
      <c r="AI29" s="374"/>
      <c r="AJ29" s="374"/>
      <c r="AK29" s="373">
        <v>1330925</v>
      </c>
      <c r="AL29" s="377"/>
      <c r="AM29" s="373"/>
      <c r="AN29" s="374"/>
      <c r="AO29" s="374"/>
      <c r="AP29" s="373">
        <v>749012</v>
      </c>
      <c r="AQ29" s="377"/>
      <c r="AR29" s="373"/>
      <c r="AS29" s="374"/>
      <c r="AT29" s="374"/>
      <c r="AU29" s="373">
        <v>630623</v>
      </c>
      <c r="AV29" s="377"/>
      <c r="AW29" s="373"/>
      <c r="AX29" s="374"/>
      <c r="AY29" s="374"/>
      <c r="AZ29" s="373">
        <v>613374</v>
      </c>
      <c r="BA29" s="377"/>
      <c r="BB29" s="373"/>
      <c r="BC29" s="374"/>
      <c r="BD29" s="374"/>
      <c r="BE29" s="373">
        <v>125783</v>
      </c>
      <c r="BF29" s="377"/>
      <c r="BG29" s="373"/>
      <c r="BH29" s="374"/>
      <c r="BI29" s="374"/>
      <c r="BJ29" s="373">
        <v>0</v>
      </c>
      <c r="BK29" s="377"/>
      <c r="BL29" s="373"/>
      <c r="BM29" s="374"/>
      <c r="BN29" s="374"/>
      <c r="BO29" s="373">
        <v>0</v>
      </c>
      <c r="BP29" s="377"/>
      <c r="BQ29" s="373"/>
      <c r="BR29" s="374"/>
      <c r="BS29" s="374"/>
      <c r="BT29" s="373">
        <f>SUM(L29:BO29)</f>
        <v>6150651</v>
      </c>
      <c r="BU29" s="377"/>
      <c r="BV29" s="373"/>
      <c r="BW29" s="9"/>
      <c r="BZ29" s="10"/>
      <c r="CA29" s="10"/>
    </row>
    <row r="30" spans="4:79" ht="12.75" customHeight="1" x14ac:dyDescent="0.2">
      <c r="D30" s="9" t="s">
        <v>346</v>
      </c>
      <c r="E30" s="374"/>
      <c r="F30" s="156"/>
      <c r="G30" s="373">
        <v>0</v>
      </c>
      <c r="H30" s="377"/>
      <c r="I30" s="373"/>
      <c r="J30" s="374"/>
      <c r="K30" s="374"/>
      <c r="L30" s="373">
        <v>0</v>
      </c>
      <c r="M30" s="377"/>
      <c r="N30" s="373"/>
      <c r="O30" s="374"/>
      <c r="P30" s="374"/>
      <c r="Q30" s="373">
        <v>0</v>
      </c>
      <c r="R30" s="377"/>
      <c r="S30" s="373"/>
      <c r="T30" s="374"/>
      <c r="U30" s="374"/>
      <c r="V30" s="373">
        <v>0</v>
      </c>
      <c r="W30" s="377"/>
      <c r="X30" s="373"/>
      <c r="Y30" s="374"/>
      <c r="Z30" s="374"/>
      <c r="AA30" s="373">
        <v>0</v>
      </c>
      <c r="AB30" s="377"/>
      <c r="AC30" s="373"/>
      <c r="AD30" s="374"/>
      <c r="AE30" s="374"/>
      <c r="AF30" s="373">
        <v>0</v>
      </c>
      <c r="AG30" s="377"/>
      <c r="AH30" s="373"/>
      <c r="AI30" s="374"/>
      <c r="AJ30" s="374"/>
      <c r="AK30" s="373">
        <v>0</v>
      </c>
      <c r="AL30" s="377"/>
      <c r="AM30" s="373"/>
      <c r="AN30" s="374"/>
      <c r="AO30" s="374"/>
      <c r="AP30" s="373">
        <v>0</v>
      </c>
      <c r="AQ30" s="377"/>
      <c r="AR30" s="373"/>
      <c r="AS30" s="374"/>
      <c r="AT30" s="374"/>
      <c r="AU30" s="373">
        <v>0</v>
      </c>
      <c r="AV30" s="377"/>
      <c r="AW30" s="373"/>
      <c r="AX30" s="374"/>
      <c r="AY30" s="374"/>
      <c r="AZ30" s="373">
        <v>0</v>
      </c>
      <c r="BA30" s="377"/>
      <c r="BB30" s="373"/>
      <c r="BC30" s="374"/>
      <c r="BD30" s="374"/>
      <c r="BE30" s="373">
        <v>0</v>
      </c>
      <c r="BF30" s="377"/>
      <c r="BG30" s="373"/>
      <c r="BH30" s="374"/>
      <c r="BI30" s="374"/>
      <c r="BJ30" s="373">
        <v>0</v>
      </c>
      <c r="BK30" s="377"/>
      <c r="BL30" s="373"/>
      <c r="BM30" s="374"/>
      <c r="BN30" s="374"/>
      <c r="BO30" s="373">
        <v>0</v>
      </c>
      <c r="BP30" s="377"/>
      <c r="BQ30" s="373"/>
      <c r="BR30" s="374"/>
      <c r="BS30" s="374"/>
      <c r="BT30" s="373">
        <f>SUM(L30:BO30)</f>
        <v>0</v>
      </c>
      <c r="BU30" s="377"/>
      <c r="BV30" s="373"/>
      <c r="BW30" s="9"/>
      <c r="BZ30" s="10"/>
      <c r="CA30" s="10"/>
    </row>
    <row r="31" spans="4:79" ht="12.75" customHeight="1" x14ac:dyDescent="0.2">
      <c r="D31" s="9" t="s">
        <v>347</v>
      </c>
      <c r="E31" s="374"/>
      <c r="F31" s="320"/>
      <c r="G31" s="385">
        <v>0</v>
      </c>
      <c r="H31" s="386"/>
      <c r="I31" s="373"/>
      <c r="J31" s="374"/>
      <c r="K31" s="387"/>
      <c r="L31" s="385">
        <v>250463</v>
      </c>
      <c r="M31" s="386"/>
      <c r="N31" s="373"/>
      <c r="O31" s="374"/>
      <c r="P31" s="387"/>
      <c r="Q31" s="385">
        <v>446442.451</v>
      </c>
      <c r="R31" s="386"/>
      <c r="S31" s="373"/>
      <c r="T31" s="374"/>
      <c r="U31" s="387"/>
      <c r="V31" s="385">
        <v>840775</v>
      </c>
      <c r="W31" s="386"/>
      <c r="X31" s="373"/>
      <c r="Y31" s="374"/>
      <c r="Z31" s="387"/>
      <c r="AA31" s="385">
        <v>1161900</v>
      </c>
      <c r="AB31" s="386"/>
      <c r="AC31" s="373"/>
      <c r="AD31" s="374"/>
      <c r="AE31" s="387"/>
      <c r="AF31" s="385">
        <v>288093</v>
      </c>
      <c r="AG31" s="386"/>
      <c r="AH31" s="373"/>
      <c r="AI31" s="374"/>
      <c r="AJ31" s="387"/>
      <c r="AK31" s="385">
        <v>1508396</v>
      </c>
      <c r="AL31" s="386"/>
      <c r="AM31" s="373"/>
      <c r="AN31" s="374"/>
      <c r="AO31" s="387"/>
      <c r="AP31" s="385">
        <v>823075</v>
      </c>
      <c r="AQ31" s="386"/>
      <c r="AR31" s="373"/>
      <c r="AS31" s="374"/>
      <c r="AT31" s="387"/>
      <c r="AU31" s="385">
        <v>718351</v>
      </c>
      <c r="AV31" s="386"/>
      <c r="AW31" s="373"/>
      <c r="AX31" s="374"/>
      <c r="AY31" s="387"/>
      <c r="AZ31" s="385">
        <v>731436</v>
      </c>
      <c r="BA31" s="386"/>
      <c r="BB31" s="373"/>
      <c r="BC31" s="374"/>
      <c r="BD31" s="387"/>
      <c r="BE31" s="385">
        <v>162233</v>
      </c>
      <c r="BF31" s="386"/>
      <c r="BG31" s="373"/>
      <c r="BH31" s="374"/>
      <c r="BI31" s="387"/>
      <c r="BJ31" s="385">
        <v>0</v>
      </c>
      <c r="BK31" s="386"/>
      <c r="BL31" s="373"/>
      <c r="BM31" s="374"/>
      <c r="BN31" s="387"/>
      <c r="BO31" s="385">
        <v>0</v>
      </c>
      <c r="BP31" s="386"/>
      <c r="BQ31" s="373"/>
      <c r="BR31" s="374"/>
      <c r="BS31" s="387"/>
      <c r="BT31" s="385">
        <f>SUM(L31:BO31)</f>
        <v>6931164.4509999994</v>
      </c>
      <c r="BU31" s="386"/>
      <c r="BV31" s="373"/>
      <c r="BW31" s="9"/>
      <c r="BZ31" s="10"/>
      <c r="CA31" s="10"/>
    </row>
    <row r="32" spans="4:79" ht="12.75" customHeight="1" x14ac:dyDescent="0.2">
      <c r="D32" s="9"/>
      <c r="E32" s="374"/>
      <c r="G32" s="373"/>
      <c r="H32" s="373"/>
      <c r="I32" s="373"/>
      <c r="J32" s="374"/>
      <c r="K32" s="373"/>
      <c r="L32" s="373"/>
      <c r="M32" s="373"/>
      <c r="N32" s="373"/>
      <c r="O32" s="374"/>
      <c r="P32" s="373"/>
      <c r="Q32" s="373"/>
      <c r="R32" s="373"/>
      <c r="S32" s="373"/>
      <c r="T32" s="374"/>
      <c r="U32" s="373"/>
      <c r="V32" s="373"/>
      <c r="W32" s="373"/>
      <c r="X32" s="373"/>
      <c r="Y32" s="374"/>
      <c r="Z32" s="373"/>
      <c r="AA32" s="373"/>
      <c r="AB32" s="373"/>
      <c r="AC32" s="373"/>
      <c r="AD32" s="374"/>
      <c r="AE32" s="373"/>
      <c r="AF32" s="373"/>
      <c r="AG32" s="373"/>
      <c r="AH32" s="373"/>
      <c r="AI32" s="374"/>
      <c r="AJ32" s="373"/>
      <c r="AK32" s="373"/>
      <c r="AL32" s="373"/>
      <c r="AM32" s="373"/>
      <c r="AN32" s="374"/>
      <c r="AO32" s="373"/>
      <c r="AP32" s="373"/>
      <c r="AQ32" s="373"/>
      <c r="AR32" s="373"/>
      <c r="AS32" s="374"/>
      <c r="AT32" s="373"/>
      <c r="AU32" s="373"/>
      <c r="AV32" s="373"/>
      <c r="AW32" s="373"/>
      <c r="AX32" s="374"/>
      <c r="AY32" s="373"/>
      <c r="AZ32" s="373"/>
      <c r="BA32" s="373"/>
      <c r="BB32" s="373"/>
      <c r="BC32" s="374"/>
      <c r="BD32" s="373"/>
      <c r="BE32" s="373"/>
      <c r="BF32" s="373"/>
      <c r="BG32" s="373"/>
      <c r="BH32" s="374"/>
      <c r="BI32" s="373"/>
      <c r="BJ32" s="373"/>
      <c r="BK32" s="373"/>
      <c r="BL32" s="373"/>
      <c r="BM32" s="374"/>
      <c r="BN32" s="373"/>
      <c r="BO32" s="373"/>
      <c r="BP32" s="373"/>
      <c r="BQ32" s="373"/>
      <c r="BR32" s="374"/>
      <c r="BS32" s="373"/>
      <c r="BT32" s="373"/>
      <c r="BU32" s="373"/>
      <c r="BV32" s="373"/>
      <c r="BW32" s="9"/>
      <c r="BZ32" s="10"/>
      <c r="CA32" s="10"/>
    </row>
    <row r="33" spans="4:79" ht="12.75" customHeight="1" x14ac:dyDescent="0.2">
      <c r="D33" s="9" t="s">
        <v>349</v>
      </c>
      <c r="E33" s="374"/>
      <c r="G33" s="373">
        <f>SUM(G34:G37)</f>
        <v>0</v>
      </c>
      <c r="H33" s="373"/>
      <c r="I33" s="373"/>
      <c r="J33" s="374"/>
      <c r="K33" s="373"/>
      <c r="L33" s="373">
        <f>SUM(L34:L37)</f>
        <v>318599</v>
      </c>
      <c r="M33" s="373"/>
      <c r="N33" s="373"/>
      <c r="O33" s="374"/>
      <c r="P33" s="373"/>
      <c r="Q33" s="373">
        <f>SUM(Q34:Q37)</f>
        <v>528391</v>
      </c>
      <c r="R33" s="373"/>
      <c r="S33" s="373"/>
      <c r="T33" s="374"/>
      <c r="U33" s="373"/>
      <c r="V33" s="373">
        <f>SUM(V34:V37)</f>
        <v>861012</v>
      </c>
      <c r="W33" s="373"/>
      <c r="X33" s="373"/>
      <c r="Y33" s="374"/>
      <c r="Z33" s="373"/>
      <c r="AA33" s="373">
        <f>SUM(AA34:AA37)</f>
        <v>3064348</v>
      </c>
      <c r="AB33" s="373"/>
      <c r="AC33" s="373"/>
      <c r="AD33" s="374"/>
      <c r="AE33" s="373"/>
      <c r="AF33" s="373">
        <f>SUM(AF34:AF37)</f>
        <v>3292135</v>
      </c>
      <c r="AG33" s="373"/>
      <c r="AH33" s="373"/>
      <c r="AI33" s="374"/>
      <c r="AJ33" s="373"/>
      <c r="AK33" s="373">
        <f>SUM(AK34:AK37)</f>
        <v>3720536</v>
      </c>
      <c r="AL33" s="373"/>
      <c r="AM33" s="373"/>
      <c r="AN33" s="374"/>
      <c r="AO33" s="373"/>
      <c r="AP33" s="373">
        <f>SUM(AP34:AP37)</f>
        <v>3706561</v>
      </c>
      <c r="AQ33" s="373"/>
      <c r="AR33" s="373"/>
      <c r="AS33" s="374"/>
      <c r="AT33" s="373"/>
      <c r="AU33" s="373">
        <f>SUM(AU34:AU37)</f>
        <v>2192871</v>
      </c>
      <c r="AV33" s="373"/>
      <c r="AW33" s="373"/>
      <c r="AX33" s="374"/>
      <c r="AY33" s="373"/>
      <c r="AZ33" s="373">
        <f>SUM(AZ34:AZ37)</f>
        <v>1770793</v>
      </c>
      <c r="BA33" s="373"/>
      <c r="BB33" s="373"/>
      <c r="BC33" s="374"/>
      <c r="BD33" s="373"/>
      <c r="BE33" s="373">
        <f>SUM(BE34:BE37)</f>
        <v>610750</v>
      </c>
      <c r="BF33" s="373"/>
      <c r="BG33" s="373"/>
      <c r="BH33" s="374"/>
      <c r="BI33" s="373"/>
      <c r="BJ33" s="373">
        <f>SUM(BJ34:BJ37)</f>
        <v>0</v>
      </c>
      <c r="BK33" s="373"/>
      <c r="BL33" s="373"/>
      <c r="BM33" s="374"/>
      <c r="BN33" s="373"/>
      <c r="BO33" s="373">
        <f>SUM(BO34:BO37)</f>
        <v>0</v>
      </c>
      <c r="BP33" s="373"/>
      <c r="BQ33" s="373"/>
      <c r="BR33" s="374"/>
      <c r="BS33" s="373"/>
      <c r="BT33" s="373">
        <f>SUM(BT34:BT37)</f>
        <v>20065996</v>
      </c>
      <c r="BU33" s="373"/>
      <c r="BV33" s="373"/>
      <c r="BW33" s="9"/>
      <c r="BZ33" s="10"/>
      <c r="CA33" s="10"/>
    </row>
    <row r="34" spans="4:79" ht="12.75" customHeight="1" x14ac:dyDescent="0.2">
      <c r="D34" s="9" t="s">
        <v>343</v>
      </c>
      <c r="E34" s="374"/>
      <c r="F34" s="309"/>
      <c r="G34" s="371">
        <v>0</v>
      </c>
      <c r="H34" s="372"/>
      <c r="I34" s="373"/>
      <c r="J34" s="374"/>
      <c r="K34" s="375"/>
      <c r="L34" s="371">
        <f>230000-98825</f>
        <v>131175</v>
      </c>
      <c r="M34" s="372"/>
      <c r="N34" s="373"/>
      <c r="O34" s="374"/>
      <c r="P34" s="375"/>
      <c r="Q34" s="371">
        <f>380000-140954</f>
        <v>239046</v>
      </c>
      <c r="R34" s="372"/>
      <c r="S34" s="373"/>
      <c r="T34" s="374"/>
      <c r="U34" s="375"/>
      <c r="V34" s="371">
        <f>615000-271529</f>
        <v>343471</v>
      </c>
      <c r="W34" s="372"/>
      <c r="X34" s="373"/>
      <c r="Y34" s="374"/>
      <c r="Z34" s="375"/>
      <c r="AA34" s="371">
        <f>2190000-1062323</f>
        <v>1127677</v>
      </c>
      <c r="AB34" s="372"/>
      <c r="AC34" s="373"/>
      <c r="AD34" s="374"/>
      <c r="AE34" s="375"/>
      <c r="AF34" s="371">
        <f>2365000-1127992</f>
        <v>1237008</v>
      </c>
      <c r="AG34" s="372"/>
      <c r="AH34" s="373"/>
      <c r="AI34" s="374"/>
      <c r="AJ34" s="375"/>
      <c r="AK34" s="371">
        <f>2675000-1194679</f>
        <v>1480321</v>
      </c>
      <c r="AL34" s="372"/>
      <c r="AM34" s="373"/>
      <c r="AN34" s="374"/>
      <c r="AO34" s="375"/>
      <c r="AP34" s="371">
        <f>2640000-1261213</f>
        <v>1378787</v>
      </c>
      <c r="AQ34" s="372"/>
      <c r="AR34" s="373"/>
      <c r="AS34" s="374"/>
      <c r="AT34" s="375"/>
      <c r="AU34" s="371">
        <f>1550000-742738</f>
        <v>807262</v>
      </c>
      <c r="AV34" s="372"/>
      <c r="AW34" s="373"/>
      <c r="AX34" s="374"/>
      <c r="AY34" s="375"/>
      <c r="AZ34" s="371">
        <f>1250000-540698</f>
        <v>709302</v>
      </c>
      <c r="BA34" s="372"/>
      <c r="BB34" s="373"/>
      <c r="BC34" s="374"/>
      <c r="BD34" s="375"/>
      <c r="BE34" s="371">
        <f>430000-183707</f>
        <v>246293</v>
      </c>
      <c r="BF34" s="372"/>
      <c r="BG34" s="373"/>
      <c r="BH34" s="374"/>
      <c r="BI34" s="375"/>
      <c r="BJ34" s="371">
        <v>0</v>
      </c>
      <c r="BK34" s="372"/>
      <c r="BL34" s="373"/>
      <c r="BM34" s="374"/>
      <c r="BN34" s="375"/>
      <c r="BO34" s="371">
        <v>0</v>
      </c>
      <c r="BP34" s="372"/>
      <c r="BQ34" s="373"/>
      <c r="BR34" s="374"/>
      <c r="BS34" s="375"/>
      <c r="BT34" s="371">
        <f>SUM(L34:BO34)</f>
        <v>7700342</v>
      </c>
      <c r="BU34" s="372"/>
      <c r="BV34" s="373"/>
      <c r="BW34" s="9"/>
      <c r="BZ34" s="10"/>
      <c r="CA34" s="10"/>
    </row>
    <row r="35" spans="4:79" ht="12.75" customHeight="1" x14ac:dyDescent="0.2">
      <c r="D35" s="9" t="s">
        <v>345</v>
      </c>
      <c r="E35" s="374"/>
      <c r="F35" s="156"/>
      <c r="G35" s="373">
        <v>0</v>
      </c>
      <c r="H35" s="377"/>
      <c r="I35" s="373"/>
      <c r="J35" s="374"/>
      <c r="K35" s="374"/>
      <c r="L35" s="373">
        <v>98825</v>
      </c>
      <c r="M35" s="377"/>
      <c r="N35" s="373"/>
      <c r="O35" s="374"/>
      <c r="P35" s="374"/>
      <c r="Q35" s="373">
        <v>140954</v>
      </c>
      <c r="R35" s="377"/>
      <c r="S35" s="373"/>
      <c r="T35" s="374"/>
      <c r="U35" s="374"/>
      <c r="V35" s="373">
        <v>271529</v>
      </c>
      <c r="W35" s="377"/>
      <c r="X35" s="373"/>
      <c r="Y35" s="374"/>
      <c r="Z35" s="374"/>
      <c r="AA35" s="373">
        <v>1062323</v>
      </c>
      <c r="AB35" s="377"/>
      <c r="AC35" s="373"/>
      <c r="AD35" s="374"/>
      <c r="AE35" s="374"/>
      <c r="AF35" s="373">
        <v>1127992</v>
      </c>
      <c r="AG35" s="377"/>
      <c r="AH35" s="373"/>
      <c r="AI35" s="374"/>
      <c r="AJ35" s="374"/>
      <c r="AK35" s="373">
        <v>1194679</v>
      </c>
      <c r="AL35" s="377"/>
      <c r="AM35" s="373"/>
      <c r="AN35" s="374"/>
      <c r="AO35" s="374"/>
      <c r="AP35" s="373">
        <v>1261213</v>
      </c>
      <c r="AQ35" s="377"/>
      <c r="AR35" s="373"/>
      <c r="AS35" s="374"/>
      <c r="AT35" s="374"/>
      <c r="AU35" s="373">
        <v>742738</v>
      </c>
      <c r="AV35" s="377"/>
      <c r="AW35" s="373"/>
      <c r="AX35" s="374"/>
      <c r="AY35" s="374"/>
      <c r="AZ35" s="373">
        <v>540698</v>
      </c>
      <c r="BA35" s="377"/>
      <c r="BB35" s="373"/>
      <c r="BC35" s="374"/>
      <c r="BD35" s="374"/>
      <c r="BE35" s="373">
        <v>183707</v>
      </c>
      <c r="BF35" s="377"/>
      <c r="BG35" s="373"/>
      <c r="BH35" s="374"/>
      <c r="BI35" s="374"/>
      <c r="BJ35" s="373">
        <v>0</v>
      </c>
      <c r="BK35" s="377"/>
      <c r="BL35" s="373"/>
      <c r="BM35" s="374"/>
      <c r="BN35" s="374"/>
      <c r="BO35" s="373">
        <v>0</v>
      </c>
      <c r="BP35" s="377"/>
      <c r="BQ35" s="373"/>
      <c r="BR35" s="374"/>
      <c r="BS35" s="374"/>
      <c r="BT35" s="373">
        <f>SUM(L35:BO35)</f>
        <v>6624658</v>
      </c>
      <c r="BU35" s="377"/>
      <c r="BV35" s="373"/>
      <c r="BW35" s="9"/>
      <c r="BZ35" s="10"/>
      <c r="CA35" s="10"/>
    </row>
    <row r="36" spans="4:79" ht="12.75" customHeight="1" x14ac:dyDescent="0.2">
      <c r="D36" s="9" t="s">
        <v>346</v>
      </c>
      <c r="E36" s="374"/>
      <c r="F36" s="156"/>
      <c r="G36" s="373">
        <v>0</v>
      </c>
      <c r="H36" s="377"/>
      <c r="I36" s="373"/>
      <c r="J36" s="374"/>
      <c r="K36" s="374"/>
      <c r="L36" s="373">
        <v>0</v>
      </c>
      <c r="M36" s="377"/>
      <c r="N36" s="373"/>
      <c r="O36" s="374"/>
      <c r="P36" s="374"/>
      <c r="Q36" s="373">
        <v>0</v>
      </c>
      <c r="R36" s="377"/>
      <c r="S36" s="373"/>
      <c r="T36" s="374"/>
      <c r="U36" s="374"/>
      <c r="V36" s="373">
        <v>0</v>
      </c>
      <c r="W36" s="377"/>
      <c r="X36" s="373"/>
      <c r="Y36" s="374"/>
      <c r="Z36" s="374"/>
      <c r="AA36" s="373">
        <v>0</v>
      </c>
      <c r="AB36" s="377"/>
      <c r="AC36" s="373"/>
      <c r="AD36" s="374"/>
      <c r="AE36" s="374"/>
      <c r="AF36" s="373">
        <v>0</v>
      </c>
      <c r="AG36" s="377"/>
      <c r="AH36" s="373"/>
      <c r="AI36" s="374"/>
      <c r="AJ36" s="374"/>
      <c r="AK36" s="373">
        <v>0</v>
      </c>
      <c r="AL36" s="377"/>
      <c r="AM36" s="373"/>
      <c r="AN36" s="374"/>
      <c r="AO36" s="374"/>
      <c r="AP36" s="373">
        <v>0</v>
      </c>
      <c r="AQ36" s="377"/>
      <c r="AR36" s="373"/>
      <c r="AS36" s="374"/>
      <c r="AT36" s="374"/>
      <c r="AU36" s="373">
        <v>0</v>
      </c>
      <c r="AV36" s="377"/>
      <c r="AW36" s="373"/>
      <c r="AX36" s="374"/>
      <c r="AY36" s="374"/>
      <c r="AZ36" s="373">
        <v>0</v>
      </c>
      <c r="BA36" s="377"/>
      <c r="BB36" s="373"/>
      <c r="BC36" s="374"/>
      <c r="BD36" s="374"/>
      <c r="BE36" s="373">
        <v>0</v>
      </c>
      <c r="BF36" s="377"/>
      <c r="BG36" s="373"/>
      <c r="BH36" s="374"/>
      <c r="BI36" s="374"/>
      <c r="BJ36" s="373">
        <v>0</v>
      </c>
      <c r="BK36" s="377"/>
      <c r="BL36" s="373"/>
      <c r="BM36" s="374"/>
      <c r="BN36" s="374"/>
      <c r="BO36" s="373">
        <v>0</v>
      </c>
      <c r="BP36" s="377"/>
      <c r="BQ36" s="373"/>
      <c r="BR36" s="374"/>
      <c r="BS36" s="374"/>
      <c r="BT36" s="373">
        <f>SUM(L36:BO36)</f>
        <v>0</v>
      </c>
      <c r="BU36" s="377"/>
      <c r="BV36" s="373"/>
      <c r="BW36" s="9"/>
      <c r="BZ36" s="10"/>
      <c r="CA36" s="10"/>
    </row>
    <row r="37" spans="4:79" ht="12.75" customHeight="1" x14ac:dyDescent="0.2">
      <c r="D37" s="9" t="s">
        <v>347</v>
      </c>
      <c r="E37" s="374"/>
      <c r="F37" s="320"/>
      <c r="G37" s="385">
        <v>0</v>
      </c>
      <c r="H37" s="386"/>
      <c r="I37" s="373"/>
      <c r="J37" s="374"/>
      <c r="K37" s="387"/>
      <c r="L37" s="385">
        <v>88599</v>
      </c>
      <c r="M37" s="386"/>
      <c r="N37" s="373"/>
      <c r="O37" s="374"/>
      <c r="P37" s="387"/>
      <c r="Q37" s="385">
        <v>148391</v>
      </c>
      <c r="R37" s="386"/>
      <c r="S37" s="373"/>
      <c r="T37" s="374"/>
      <c r="U37" s="387"/>
      <c r="V37" s="385">
        <v>246012</v>
      </c>
      <c r="W37" s="386"/>
      <c r="X37" s="373"/>
      <c r="Y37" s="374"/>
      <c r="Z37" s="387"/>
      <c r="AA37" s="385">
        <v>874348</v>
      </c>
      <c r="AB37" s="386"/>
      <c r="AC37" s="373"/>
      <c r="AD37" s="374"/>
      <c r="AE37" s="387"/>
      <c r="AF37" s="385">
        <v>927135</v>
      </c>
      <c r="AG37" s="386"/>
      <c r="AH37" s="373"/>
      <c r="AI37" s="374"/>
      <c r="AJ37" s="387"/>
      <c r="AK37" s="385">
        <v>1045536</v>
      </c>
      <c r="AL37" s="386"/>
      <c r="AM37" s="373"/>
      <c r="AN37" s="374"/>
      <c r="AO37" s="387"/>
      <c r="AP37" s="385">
        <v>1066561</v>
      </c>
      <c r="AQ37" s="386"/>
      <c r="AR37" s="373"/>
      <c r="AS37" s="374"/>
      <c r="AT37" s="387"/>
      <c r="AU37" s="385">
        <v>642871</v>
      </c>
      <c r="AV37" s="386"/>
      <c r="AW37" s="373"/>
      <c r="AX37" s="374"/>
      <c r="AY37" s="387"/>
      <c r="AZ37" s="385">
        <v>520793</v>
      </c>
      <c r="BA37" s="386"/>
      <c r="BB37" s="373"/>
      <c r="BC37" s="374"/>
      <c r="BD37" s="387"/>
      <c r="BE37" s="385">
        <v>180750</v>
      </c>
      <c r="BF37" s="386"/>
      <c r="BG37" s="373"/>
      <c r="BH37" s="374"/>
      <c r="BI37" s="387"/>
      <c r="BJ37" s="385">
        <v>0</v>
      </c>
      <c r="BK37" s="386"/>
      <c r="BL37" s="373"/>
      <c r="BM37" s="374"/>
      <c r="BN37" s="387"/>
      <c r="BO37" s="385">
        <v>0</v>
      </c>
      <c r="BP37" s="386"/>
      <c r="BQ37" s="373"/>
      <c r="BR37" s="374"/>
      <c r="BS37" s="387"/>
      <c r="BT37" s="385">
        <f>SUM(L37:BO37)</f>
        <v>5740996</v>
      </c>
      <c r="BU37" s="386"/>
      <c r="BV37" s="373"/>
      <c r="BW37" s="9"/>
      <c r="BZ37" s="10"/>
      <c r="CA37" s="10"/>
    </row>
    <row r="38" spans="4:79" x14ac:dyDescent="0.2">
      <c r="D38" s="9"/>
      <c r="E38" s="374"/>
      <c r="G38" s="373"/>
      <c r="H38" s="373"/>
      <c r="I38" s="373"/>
      <c r="J38" s="374"/>
      <c r="K38" s="373"/>
      <c r="L38" s="373"/>
      <c r="M38" s="373"/>
      <c r="N38" s="373"/>
      <c r="O38" s="374"/>
      <c r="P38" s="373"/>
      <c r="Q38" s="373"/>
      <c r="R38" s="373"/>
      <c r="S38" s="373"/>
      <c r="T38" s="374"/>
      <c r="U38" s="373"/>
      <c r="V38" s="373"/>
      <c r="W38" s="373"/>
      <c r="X38" s="373"/>
      <c r="Y38" s="374"/>
      <c r="Z38" s="373"/>
      <c r="AA38" s="373"/>
      <c r="AB38" s="373"/>
      <c r="AC38" s="373"/>
      <c r="AD38" s="374"/>
      <c r="AE38" s="373"/>
      <c r="AF38" s="373"/>
      <c r="AG38" s="373"/>
      <c r="AH38" s="373"/>
      <c r="AI38" s="374"/>
      <c r="AJ38" s="373"/>
      <c r="AK38" s="373"/>
      <c r="AL38" s="373"/>
      <c r="AM38" s="373"/>
      <c r="AN38" s="374"/>
      <c r="AO38" s="373"/>
      <c r="AP38" s="373"/>
      <c r="AQ38" s="373"/>
      <c r="AR38" s="373"/>
      <c r="AS38" s="374"/>
      <c r="AT38" s="373"/>
      <c r="AU38" s="373"/>
      <c r="AV38" s="373"/>
      <c r="AW38" s="373"/>
      <c r="AX38" s="374"/>
      <c r="AY38" s="373"/>
      <c r="AZ38" s="373"/>
      <c r="BA38" s="373"/>
      <c r="BB38" s="373"/>
      <c r="BC38" s="374"/>
      <c r="BD38" s="373"/>
      <c r="BE38" s="373"/>
      <c r="BF38" s="373"/>
      <c r="BG38" s="373"/>
      <c r="BH38" s="374"/>
      <c r="BI38" s="373"/>
      <c r="BJ38" s="373"/>
      <c r="BK38" s="373"/>
      <c r="BL38" s="373"/>
      <c r="BM38" s="374"/>
      <c r="BN38" s="373"/>
      <c r="BO38" s="373"/>
      <c r="BP38" s="373"/>
      <c r="BQ38" s="373"/>
      <c r="BR38" s="374"/>
      <c r="BS38" s="373"/>
      <c r="BT38" s="373"/>
      <c r="BU38" s="373"/>
      <c r="BV38" s="373"/>
      <c r="BW38" s="9"/>
      <c r="BZ38" s="10"/>
      <c r="CA38" s="10"/>
    </row>
    <row r="39" spans="4:79" ht="12.75" customHeight="1" x14ac:dyDescent="0.2">
      <c r="D39" s="9" t="s">
        <v>350</v>
      </c>
      <c r="E39" s="374"/>
      <c r="G39" s="373">
        <f>SUM(G40:G43)</f>
        <v>0</v>
      </c>
      <c r="H39" s="373"/>
      <c r="I39" s="373"/>
      <c r="J39" s="374"/>
      <c r="K39" s="373"/>
      <c r="L39" s="373">
        <f>SUM(L40:L43)</f>
        <v>758012</v>
      </c>
      <c r="M39" s="373"/>
      <c r="N39" s="373"/>
      <c r="O39" s="374"/>
      <c r="P39" s="373"/>
      <c r="Q39" s="373">
        <f>SUM(Q40:Q43)</f>
        <v>592400</v>
      </c>
      <c r="R39" s="373"/>
      <c r="S39" s="373"/>
      <c r="T39" s="374"/>
      <c r="U39" s="373"/>
      <c r="V39" s="373">
        <f>SUM(V40:V43)</f>
        <v>817596</v>
      </c>
      <c r="W39" s="373"/>
      <c r="X39" s="373"/>
      <c r="Y39" s="374"/>
      <c r="Z39" s="373"/>
      <c r="AA39" s="373">
        <f>SUM(AA40:AA43)</f>
        <v>0</v>
      </c>
      <c r="AB39" s="373"/>
      <c r="AC39" s="373"/>
      <c r="AD39" s="374"/>
      <c r="AE39" s="373"/>
      <c r="AF39" s="373">
        <f>SUM(AF40:AF43)</f>
        <v>1611709</v>
      </c>
      <c r="AG39" s="373"/>
      <c r="AH39" s="373"/>
      <c r="AI39" s="374"/>
      <c r="AJ39" s="373"/>
      <c r="AK39" s="373">
        <f>SUM(AK40:AK43)</f>
        <v>0</v>
      </c>
      <c r="AL39" s="373"/>
      <c r="AM39" s="373"/>
      <c r="AN39" s="374"/>
      <c r="AO39" s="373"/>
      <c r="AP39" s="373">
        <f>SUM(AP40:AP43)</f>
        <v>1218728</v>
      </c>
      <c r="AQ39" s="373"/>
      <c r="AR39" s="373"/>
      <c r="AS39" s="374"/>
      <c r="AT39" s="373"/>
      <c r="AU39" s="373">
        <f>SUM(AU40:AU43)</f>
        <v>2181019</v>
      </c>
      <c r="AV39" s="373"/>
      <c r="AW39" s="373"/>
      <c r="AX39" s="374"/>
      <c r="AY39" s="373"/>
      <c r="AZ39" s="373">
        <f>SUM(AZ40:AZ43)</f>
        <v>2952785</v>
      </c>
      <c r="BA39" s="373"/>
      <c r="BB39" s="373"/>
      <c r="BC39" s="374"/>
      <c r="BD39" s="373"/>
      <c r="BE39" s="373">
        <f>SUM(BE40:BE43)</f>
        <v>0</v>
      </c>
      <c r="BF39" s="373"/>
      <c r="BG39" s="373"/>
      <c r="BH39" s="374"/>
      <c r="BI39" s="373"/>
      <c r="BJ39" s="373">
        <f>SUM(BJ40:BJ43)</f>
        <v>0</v>
      </c>
      <c r="BK39" s="373"/>
      <c r="BL39" s="373"/>
      <c r="BM39" s="374"/>
      <c r="BN39" s="373"/>
      <c r="BO39" s="373">
        <f>SUM(BO40:BO43)</f>
        <v>0</v>
      </c>
      <c r="BP39" s="373"/>
      <c r="BQ39" s="373"/>
      <c r="BR39" s="374"/>
      <c r="BS39" s="373"/>
      <c r="BT39" s="373">
        <f>SUM(BT40:BT43)</f>
        <v>10132249</v>
      </c>
      <c r="BU39" s="373"/>
      <c r="BV39" s="373"/>
      <c r="BW39" s="9"/>
      <c r="BZ39" s="10"/>
      <c r="CA39" s="10"/>
    </row>
    <row r="40" spans="4:79" ht="12.75" customHeight="1" x14ac:dyDescent="0.2">
      <c r="D40" s="9" t="s">
        <v>343</v>
      </c>
      <c r="E40" s="374"/>
      <c r="F40" s="309"/>
      <c r="G40" s="371">
        <v>0</v>
      </c>
      <c r="H40" s="372"/>
      <c r="I40" s="373"/>
      <c r="J40" s="374"/>
      <c r="K40" s="375"/>
      <c r="L40" s="371">
        <f>605000-189324</f>
        <v>415676</v>
      </c>
      <c r="M40" s="372"/>
      <c r="N40" s="373"/>
      <c r="O40" s="374"/>
      <c r="P40" s="375"/>
      <c r="Q40" s="371">
        <f>470000-150889</f>
        <v>319111</v>
      </c>
      <c r="R40" s="372"/>
      <c r="S40" s="373"/>
      <c r="T40" s="374"/>
      <c r="U40" s="375"/>
      <c r="V40" s="371">
        <f>645000-201995</f>
        <v>443005</v>
      </c>
      <c r="W40" s="372"/>
      <c r="X40" s="373"/>
      <c r="Y40" s="374"/>
      <c r="Z40" s="375"/>
      <c r="AA40" s="371">
        <v>0</v>
      </c>
      <c r="AB40" s="372"/>
      <c r="AC40" s="373"/>
      <c r="AD40" s="374"/>
      <c r="AE40" s="375"/>
      <c r="AF40" s="371">
        <f>1280000-424956</f>
        <v>855044</v>
      </c>
      <c r="AG40" s="372"/>
      <c r="AH40" s="373"/>
      <c r="AI40" s="374"/>
      <c r="AJ40" s="375"/>
      <c r="AK40" s="371">
        <v>0</v>
      </c>
      <c r="AL40" s="372"/>
      <c r="AM40" s="373"/>
      <c r="AN40" s="374"/>
      <c r="AO40" s="375"/>
      <c r="AP40" s="371">
        <f>955000-322457</f>
        <v>632543</v>
      </c>
      <c r="AQ40" s="372"/>
      <c r="AR40" s="373"/>
      <c r="AS40" s="374"/>
      <c r="AT40" s="375"/>
      <c r="AU40" s="371">
        <f>1705000-574806</f>
        <v>1130194</v>
      </c>
      <c r="AV40" s="372"/>
      <c r="AW40" s="373"/>
      <c r="AX40" s="374"/>
      <c r="AY40" s="375"/>
      <c r="AZ40" s="371">
        <f>2305000-740466</f>
        <v>1564534</v>
      </c>
      <c r="BA40" s="372"/>
      <c r="BB40" s="373"/>
      <c r="BC40" s="374"/>
      <c r="BD40" s="375"/>
      <c r="BE40" s="371">
        <v>0</v>
      </c>
      <c r="BF40" s="372"/>
      <c r="BG40" s="373"/>
      <c r="BH40" s="374"/>
      <c r="BI40" s="375"/>
      <c r="BJ40" s="371">
        <v>0</v>
      </c>
      <c r="BK40" s="372"/>
      <c r="BL40" s="373"/>
      <c r="BM40" s="374"/>
      <c r="BN40" s="375"/>
      <c r="BO40" s="371">
        <v>0</v>
      </c>
      <c r="BP40" s="372"/>
      <c r="BQ40" s="373"/>
      <c r="BR40" s="374"/>
      <c r="BS40" s="375"/>
      <c r="BT40" s="371">
        <f>SUM(L40:BO40)</f>
        <v>5360107</v>
      </c>
      <c r="BU40" s="372"/>
      <c r="BV40" s="373"/>
      <c r="BW40" s="9"/>
      <c r="BZ40" s="10"/>
      <c r="CA40" s="10"/>
    </row>
    <row r="41" spans="4:79" ht="12.75" customHeight="1" x14ac:dyDescent="0.2">
      <c r="D41" s="9" t="s">
        <v>345</v>
      </c>
      <c r="E41" s="374"/>
      <c r="F41" s="156"/>
      <c r="G41" s="373">
        <v>0</v>
      </c>
      <c r="H41" s="377"/>
      <c r="I41" s="373"/>
      <c r="J41" s="374"/>
      <c r="K41" s="374"/>
      <c r="L41" s="373">
        <v>189324</v>
      </c>
      <c r="M41" s="377"/>
      <c r="N41" s="373"/>
      <c r="O41" s="374"/>
      <c r="P41" s="374"/>
      <c r="Q41" s="373">
        <v>150889</v>
      </c>
      <c r="R41" s="377"/>
      <c r="S41" s="373"/>
      <c r="T41" s="374"/>
      <c r="U41" s="374"/>
      <c r="V41" s="373">
        <v>201995</v>
      </c>
      <c r="W41" s="377"/>
      <c r="X41" s="373"/>
      <c r="Y41" s="374"/>
      <c r="Z41" s="374"/>
      <c r="AA41" s="373">
        <v>0</v>
      </c>
      <c r="AB41" s="377"/>
      <c r="AC41" s="373"/>
      <c r="AD41" s="374"/>
      <c r="AE41" s="374"/>
      <c r="AF41" s="373">
        <v>424956</v>
      </c>
      <c r="AG41" s="377"/>
      <c r="AH41" s="373"/>
      <c r="AI41" s="374"/>
      <c r="AJ41" s="374"/>
      <c r="AK41" s="373">
        <v>0</v>
      </c>
      <c r="AL41" s="377"/>
      <c r="AM41" s="373"/>
      <c r="AN41" s="374"/>
      <c r="AO41" s="374"/>
      <c r="AP41" s="373">
        <v>322457</v>
      </c>
      <c r="AQ41" s="377"/>
      <c r="AR41" s="373"/>
      <c r="AS41" s="374"/>
      <c r="AT41" s="374"/>
      <c r="AU41" s="373">
        <v>574806</v>
      </c>
      <c r="AV41" s="377"/>
      <c r="AW41" s="373"/>
      <c r="AX41" s="374"/>
      <c r="AY41" s="374"/>
      <c r="AZ41" s="373">
        <v>740466</v>
      </c>
      <c r="BA41" s="377"/>
      <c r="BB41" s="373"/>
      <c r="BC41" s="374"/>
      <c r="BD41" s="374"/>
      <c r="BE41" s="373">
        <v>0</v>
      </c>
      <c r="BF41" s="377"/>
      <c r="BG41" s="373"/>
      <c r="BH41" s="374"/>
      <c r="BI41" s="374"/>
      <c r="BJ41" s="373">
        <v>0</v>
      </c>
      <c r="BK41" s="377"/>
      <c r="BL41" s="373"/>
      <c r="BM41" s="374"/>
      <c r="BN41" s="374"/>
      <c r="BO41" s="373">
        <v>0</v>
      </c>
      <c r="BP41" s="377"/>
      <c r="BQ41" s="373"/>
      <c r="BR41" s="374"/>
      <c r="BS41" s="374"/>
      <c r="BT41" s="373">
        <f>SUM(L41:BO41)</f>
        <v>2604893</v>
      </c>
      <c r="BU41" s="377"/>
      <c r="BV41" s="373"/>
      <c r="BW41" s="9"/>
      <c r="BZ41" s="10"/>
      <c r="CA41" s="10"/>
    </row>
    <row r="42" spans="4:79" ht="12.75" customHeight="1" x14ac:dyDescent="0.2">
      <c r="D42" s="9" t="s">
        <v>346</v>
      </c>
      <c r="E42" s="374"/>
      <c r="F42" s="156"/>
      <c r="G42" s="373">
        <v>0</v>
      </c>
      <c r="H42" s="377"/>
      <c r="I42" s="373"/>
      <c r="J42" s="374"/>
      <c r="K42" s="374"/>
      <c r="L42" s="373">
        <v>0</v>
      </c>
      <c r="M42" s="377"/>
      <c r="N42" s="373"/>
      <c r="O42" s="374"/>
      <c r="P42" s="374"/>
      <c r="Q42" s="373">
        <v>0</v>
      </c>
      <c r="R42" s="377"/>
      <c r="S42" s="373"/>
      <c r="T42" s="374"/>
      <c r="U42" s="374"/>
      <c r="V42" s="373">
        <v>0</v>
      </c>
      <c r="W42" s="377"/>
      <c r="X42" s="373"/>
      <c r="Y42" s="374"/>
      <c r="Z42" s="374"/>
      <c r="AA42" s="373">
        <v>0</v>
      </c>
      <c r="AB42" s="377"/>
      <c r="AC42" s="373"/>
      <c r="AD42" s="374"/>
      <c r="AE42" s="374"/>
      <c r="AF42" s="373">
        <v>0</v>
      </c>
      <c r="AG42" s="377"/>
      <c r="AH42" s="373"/>
      <c r="AI42" s="374"/>
      <c r="AJ42" s="374"/>
      <c r="AK42" s="373">
        <v>0</v>
      </c>
      <c r="AL42" s="377"/>
      <c r="AM42" s="373"/>
      <c r="AN42" s="374"/>
      <c r="AO42" s="374"/>
      <c r="AP42" s="373">
        <v>0</v>
      </c>
      <c r="AQ42" s="377"/>
      <c r="AR42" s="373"/>
      <c r="AS42" s="374"/>
      <c r="AT42" s="374"/>
      <c r="AU42" s="373">
        <v>0</v>
      </c>
      <c r="AV42" s="377"/>
      <c r="AW42" s="373"/>
      <c r="AX42" s="374"/>
      <c r="AY42" s="374"/>
      <c r="AZ42" s="373">
        <v>0</v>
      </c>
      <c r="BA42" s="377"/>
      <c r="BB42" s="373"/>
      <c r="BC42" s="374"/>
      <c r="BD42" s="374"/>
      <c r="BE42" s="373">
        <v>0</v>
      </c>
      <c r="BF42" s="377"/>
      <c r="BG42" s="373"/>
      <c r="BH42" s="374"/>
      <c r="BI42" s="374"/>
      <c r="BJ42" s="373">
        <v>0</v>
      </c>
      <c r="BK42" s="377"/>
      <c r="BL42" s="373"/>
      <c r="BM42" s="374"/>
      <c r="BN42" s="374"/>
      <c r="BO42" s="373">
        <v>0</v>
      </c>
      <c r="BP42" s="377"/>
      <c r="BQ42" s="373"/>
      <c r="BR42" s="374"/>
      <c r="BS42" s="374"/>
      <c r="BT42" s="373">
        <f>SUM(L42:BO42)</f>
        <v>0</v>
      </c>
      <c r="BU42" s="377"/>
      <c r="BV42" s="373"/>
      <c r="BW42" s="9"/>
      <c r="BZ42" s="10"/>
      <c r="CA42" s="10"/>
    </row>
    <row r="43" spans="4:79" ht="12.75" customHeight="1" x14ac:dyDescent="0.2">
      <c r="D43" s="9" t="s">
        <v>347</v>
      </c>
      <c r="E43" s="374"/>
      <c r="F43" s="320"/>
      <c r="G43" s="385">
        <v>0</v>
      </c>
      <c r="H43" s="386"/>
      <c r="I43" s="373"/>
      <c r="J43" s="374"/>
      <c r="K43" s="387"/>
      <c r="L43" s="385">
        <v>153012</v>
      </c>
      <c r="M43" s="386"/>
      <c r="N43" s="373"/>
      <c r="O43" s="374"/>
      <c r="P43" s="387"/>
      <c r="Q43" s="385">
        <v>122400</v>
      </c>
      <c r="R43" s="386"/>
      <c r="S43" s="373"/>
      <c r="T43" s="374"/>
      <c r="U43" s="387"/>
      <c r="V43" s="385">
        <v>172596</v>
      </c>
      <c r="W43" s="386"/>
      <c r="X43" s="373"/>
      <c r="Y43" s="374"/>
      <c r="Z43" s="387"/>
      <c r="AA43" s="385">
        <v>0</v>
      </c>
      <c r="AB43" s="386"/>
      <c r="AC43" s="373"/>
      <c r="AD43" s="374"/>
      <c r="AE43" s="387"/>
      <c r="AF43" s="385">
        <v>331709</v>
      </c>
      <c r="AG43" s="386"/>
      <c r="AH43" s="373"/>
      <c r="AI43" s="374"/>
      <c r="AJ43" s="387"/>
      <c r="AK43" s="385">
        <v>0</v>
      </c>
      <c r="AL43" s="386"/>
      <c r="AM43" s="373"/>
      <c r="AN43" s="374"/>
      <c r="AO43" s="387"/>
      <c r="AP43" s="385">
        <v>263728</v>
      </c>
      <c r="AQ43" s="386"/>
      <c r="AR43" s="373"/>
      <c r="AS43" s="374"/>
      <c r="AT43" s="387"/>
      <c r="AU43" s="385">
        <v>476019</v>
      </c>
      <c r="AV43" s="386"/>
      <c r="AW43" s="373"/>
      <c r="AX43" s="374"/>
      <c r="AY43" s="387"/>
      <c r="AZ43" s="385">
        <v>647785</v>
      </c>
      <c r="BA43" s="386"/>
      <c r="BB43" s="373"/>
      <c r="BC43" s="374"/>
      <c r="BD43" s="387"/>
      <c r="BE43" s="385">
        <v>0</v>
      </c>
      <c r="BF43" s="386"/>
      <c r="BG43" s="373"/>
      <c r="BH43" s="374"/>
      <c r="BI43" s="387"/>
      <c r="BJ43" s="385">
        <v>0</v>
      </c>
      <c r="BK43" s="386"/>
      <c r="BL43" s="373"/>
      <c r="BM43" s="374"/>
      <c r="BN43" s="387"/>
      <c r="BO43" s="385">
        <v>0</v>
      </c>
      <c r="BP43" s="386"/>
      <c r="BQ43" s="373"/>
      <c r="BR43" s="374"/>
      <c r="BS43" s="387"/>
      <c r="BT43" s="385">
        <f>SUM(L43:BO43)</f>
        <v>2167249</v>
      </c>
      <c r="BU43" s="386"/>
      <c r="BV43" s="373"/>
      <c r="BW43" s="9"/>
      <c r="BZ43" s="10"/>
      <c r="CA43" s="10"/>
    </row>
    <row r="44" spans="4:79" ht="12.75" customHeight="1" x14ac:dyDescent="0.2">
      <c r="D44" s="9"/>
      <c r="E44" s="374"/>
      <c r="G44" s="373"/>
      <c r="H44" s="373"/>
      <c r="I44" s="373"/>
      <c r="J44" s="374"/>
      <c r="K44" s="373"/>
      <c r="L44" s="373"/>
      <c r="M44" s="373"/>
      <c r="N44" s="373"/>
      <c r="O44" s="374"/>
      <c r="P44" s="373"/>
      <c r="Q44" s="373"/>
      <c r="R44" s="373"/>
      <c r="S44" s="373"/>
      <c r="T44" s="374"/>
      <c r="U44" s="373"/>
      <c r="V44" s="373"/>
      <c r="W44" s="373"/>
      <c r="X44" s="373"/>
      <c r="Y44" s="374"/>
      <c r="Z44" s="373"/>
      <c r="AA44" s="373"/>
      <c r="AB44" s="373"/>
      <c r="AC44" s="373"/>
      <c r="AD44" s="374"/>
      <c r="AE44" s="373"/>
      <c r="AF44" s="373"/>
      <c r="AG44" s="373"/>
      <c r="AH44" s="373"/>
      <c r="AI44" s="374"/>
      <c r="AJ44" s="373"/>
      <c r="AK44" s="373"/>
      <c r="AL44" s="373"/>
      <c r="AM44" s="373"/>
      <c r="AN44" s="374"/>
      <c r="AO44" s="373"/>
      <c r="AP44" s="373"/>
      <c r="AQ44" s="373"/>
      <c r="AR44" s="373"/>
      <c r="AS44" s="374"/>
      <c r="AT44" s="373"/>
      <c r="AU44" s="373"/>
      <c r="AV44" s="373"/>
      <c r="AW44" s="373"/>
      <c r="AX44" s="374"/>
      <c r="AY44" s="373"/>
      <c r="AZ44" s="373"/>
      <c r="BA44" s="373"/>
      <c r="BB44" s="373"/>
      <c r="BC44" s="374"/>
      <c r="BD44" s="373"/>
      <c r="BE44" s="373"/>
      <c r="BF44" s="373"/>
      <c r="BG44" s="373"/>
      <c r="BH44" s="374"/>
      <c r="BI44" s="373"/>
      <c r="BJ44" s="373"/>
      <c r="BK44" s="373"/>
      <c r="BL44" s="373"/>
      <c r="BM44" s="374"/>
      <c r="BN44" s="373"/>
      <c r="BO44" s="373"/>
      <c r="BP44" s="373"/>
      <c r="BQ44" s="373"/>
      <c r="BR44" s="374"/>
      <c r="BS44" s="373"/>
      <c r="BT44" s="373"/>
      <c r="BU44" s="373"/>
      <c r="BV44" s="373"/>
      <c r="BW44" s="9"/>
      <c r="BZ44" s="10"/>
      <c r="CA44" s="10"/>
    </row>
    <row r="45" spans="4:79" ht="12.75" customHeight="1" x14ac:dyDescent="0.2">
      <c r="D45" s="9" t="s">
        <v>351</v>
      </c>
      <c r="E45" s="374"/>
      <c r="G45" s="373">
        <f>SUM(G46:G49)</f>
        <v>0</v>
      </c>
      <c r="H45" s="373"/>
      <c r="I45" s="373"/>
      <c r="J45" s="374"/>
      <c r="K45" s="373"/>
      <c r="L45" s="373">
        <f>SUM(L46:L49)</f>
        <v>982689</v>
      </c>
      <c r="M45" s="373"/>
      <c r="N45" s="373"/>
      <c r="O45" s="374"/>
      <c r="P45" s="373"/>
      <c r="Q45" s="373">
        <f>SUM(Q46:Q49)</f>
        <v>1986453</v>
      </c>
      <c r="R45" s="373"/>
      <c r="S45" s="373"/>
      <c r="T45" s="374"/>
      <c r="U45" s="373"/>
      <c r="V45" s="373">
        <f>SUM(V46:V49)</f>
        <v>1403161</v>
      </c>
      <c r="W45" s="373"/>
      <c r="X45" s="373"/>
      <c r="Y45" s="374"/>
      <c r="Z45" s="373"/>
      <c r="AA45" s="373">
        <f>SUM(AA46:AA49)</f>
        <v>2745650</v>
      </c>
      <c r="AB45" s="373"/>
      <c r="AC45" s="373"/>
      <c r="AD45" s="374"/>
      <c r="AE45" s="373"/>
      <c r="AF45" s="373">
        <f>SUM(AF46:AF49)</f>
        <v>797349</v>
      </c>
      <c r="AG45" s="373"/>
      <c r="AH45" s="373"/>
      <c r="AI45" s="374"/>
      <c r="AJ45" s="373"/>
      <c r="AK45" s="373">
        <f>SUM(AK46:AK49)</f>
        <v>2383632</v>
      </c>
      <c r="AL45" s="373"/>
      <c r="AM45" s="373"/>
      <c r="AN45" s="374"/>
      <c r="AO45" s="373"/>
      <c r="AP45" s="373">
        <f>SUM(AP46:AP49)</f>
        <v>969298</v>
      </c>
      <c r="AQ45" s="373"/>
      <c r="AR45" s="373"/>
      <c r="AS45" s="374"/>
      <c r="AT45" s="373"/>
      <c r="AU45" s="373">
        <f>SUM(AU46:AU49)</f>
        <v>2188195</v>
      </c>
      <c r="AV45" s="373"/>
      <c r="AW45" s="373"/>
      <c r="AX45" s="374"/>
      <c r="AY45" s="373"/>
      <c r="AZ45" s="373">
        <f>SUM(AZ46:AZ49)</f>
        <v>999149</v>
      </c>
      <c r="BA45" s="373"/>
      <c r="BB45" s="373"/>
      <c r="BC45" s="374"/>
      <c r="BD45" s="373"/>
      <c r="BE45" s="373">
        <f>SUM(BE46:BE49)</f>
        <v>557392</v>
      </c>
      <c r="BF45" s="373"/>
      <c r="BG45" s="373"/>
      <c r="BH45" s="374"/>
      <c r="BI45" s="373"/>
      <c r="BJ45" s="373">
        <f>SUM(BJ46:BJ49)</f>
        <v>0</v>
      </c>
      <c r="BK45" s="373"/>
      <c r="BL45" s="373"/>
      <c r="BM45" s="374"/>
      <c r="BN45" s="373"/>
      <c r="BO45" s="373">
        <f>SUM(BO46:BO49)</f>
        <v>0</v>
      </c>
      <c r="BP45" s="373"/>
      <c r="BQ45" s="373"/>
      <c r="BR45" s="374"/>
      <c r="BS45" s="373"/>
      <c r="BT45" s="373">
        <f>SUM(BT46:BT49)</f>
        <v>15012968</v>
      </c>
      <c r="BU45" s="373"/>
      <c r="BV45" s="373"/>
      <c r="BW45" s="9"/>
      <c r="BZ45" s="10"/>
      <c r="CA45" s="10"/>
    </row>
    <row r="46" spans="4:79" ht="12.75" customHeight="1" x14ac:dyDescent="0.2">
      <c r="D46" s="9" t="s">
        <v>343</v>
      </c>
      <c r="E46" s="374"/>
      <c r="F46" s="309"/>
      <c r="G46" s="371">
        <v>0</v>
      </c>
      <c r="H46" s="372"/>
      <c r="I46" s="373"/>
      <c r="J46" s="374"/>
      <c r="K46" s="375"/>
      <c r="L46" s="371">
        <f>670000-314206</f>
        <v>355794</v>
      </c>
      <c r="M46" s="372"/>
      <c r="N46" s="373"/>
      <c r="O46" s="374"/>
      <c r="P46" s="375"/>
      <c r="Q46" s="371">
        <f>1345000-656147</f>
        <v>688853</v>
      </c>
      <c r="R46" s="372"/>
      <c r="S46" s="373"/>
      <c r="T46" s="374"/>
      <c r="U46" s="375"/>
      <c r="V46" s="371">
        <f>945000-485085</f>
        <v>459915</v>
      </c>
      <c r="W46" s="372"/>
      <c r="X46" s="373"/>
      <c r="Y46" s="374"/>
      <c r="Z46" s="375"/>
      <c r="AA46" s="371">
        <f>1850000-1026711</f>
        <v>823289</v>
      </c>
      <c r="AB46" s="372"/>
      <c r="AC46" s="373"/>
      <c r="AD46" s="374"/>
      <c r="AE46" s="375"/>
      <c r="AF46" s="371">
        <f>540000-296291</f>
        <v>243709</v>
      </c>
      <c r="AG46" s="372"/>
      <c r="AH46" s="373"/>
      <c r="AI46" s="374"/>
      <c r="AJ46" s="375"/>
      <c r="AK46" s="371">
        <f>1615000-838888</f>
        <v>776112</v>
      </c>
      <c r="AL46" s="372"/>
      <c r="AM46" s="373"/>
      <c r="AN46" s="374"/>
      <c r="AO46" s="375"/>
      <c r="AP46" s="371">
        <f>650000-353640</f>
        <v>296360</v>
      </c>
      <c r="AQ46" s="372"/>
      <c r="AR46" s="373"/>
      <c r="AS46" s="374"/>
      <c r="AT46" s="375"/>
      <c r="AU46" s="371">
        <f>1460000-813214</f>
        <v>646786</v>
      </c>
      <c r="AV46" s="372"/>
      <c r="AW46" s="373"/>
      <c r="AX46" s="374"/>
      <c r="AY46" s="375"/>
      <c r="AZ46" s="371">
        <f>665000-318471</f>
        <v>346529</v>
      </c>
      <c r="BA46" s="372"/>
      <c r="BB46" s="373"/>
      <c r="BC46" s="374"/>
      <c r="BD46" s="375"/>
      <c r="BE46" s="371">
        <f>370000-180925</f>
        <v>189075</v>
      </c>
      <c r="BF46" s="372"/>
      <c r="BG46" s="373"/>
      <c r="BH46" s="374"/>
      <c r="BI46" s="375"/>
      <c r="BJ46" s="371">
        <v>0</v>
      </c>
      <c r="BK46" s="372"/>
      <c r="BL46" s="373"/>
      <c r="BM46" s="374"/>
      <c r="BN46" s="375"/>
      <c r="BO46" s="371">
        <v>0</v>
      </c>
      <c r="BP46" s="372"/>
      <c r="BQ46" s="373"/>
      <c r="BR46" s="374"/>
      <c r="BS46" s="375"/>
      <c r="BT46" s="371">
        <f>SUM(L46:BO46)</f>
        <v>4826422</v>
      </c>
      <c r="BU46" s="372"/>
      <c r="BV46" s="373"/>
      <c r="BW46" s="9"/>
      <c r="BZ46" s="10"/>
      <c r="CA46" s="10"/>
    </row>
    <row r="47" spans="4:79" ht="12.75" customHeight="1" x14ac:dyDescent="0.2">
      <c r="D47" s="9" t="s">
        <v>345</v>
      </c>
      <c r="E47" s="374"/>
      <c r="F47" s="156"/>
      <c r="G47" s="373">
        <v>0</v>
      </c>
      <c r="H47" s="377"/>
      <c r="I47" s="373"/>
      <c r="J47" s="374"/>
      <c r="K47" s="374"/>
      <c r="L47" s="373">
        <v>314206</v>
      </c>
      <c r="M47" s="377"/>
      <c r="N47" s="373"/>
      <c r="O47" s="374"/>
      <c r="P47" s="374"/>
      <c r="Q47" s="373">
        <v>656147</v>
      </c>
      <c r="R47" s="377"/>
      <c r="S47" s="373"/>
      <c r="T47" s="374"/>
      <c r="U47" s="374"/>
      <c r="V47" s="373">
        <v>485085</v>
      </c>
      <c r="W47" s="377"/>
      <c r="X47" s="373"/>
      <c r="Y47" s="374"/>
      <c r="Z47" s="374"/>
      <c r="AA47" s="373">
        <v>1026711</v>
      </c>
      <c r="AB47" s="377"/>
      <c r="AC47" s="373"/>
      <c r="AD47" s="374"/>
      <c r="AE47" s="374"/>
      <c r="AF47" s="373">
        <v>296291</v>
      </c>
      <c r="AG47" s="377"/>
      <c r="AH47" s="373"/>
      <c r="AI47" s="374"/>
      <c r="AJ47" s="374"/>
      <c r="AK47" s="373">
        <v>838888</v>
      </c>
      <c r="AL47" s="377"/>
      <c r="AM47" s="373"/>
      <c r="AN47" s="374"/>
      <c r="AO47" s="374"/>
      <c r="AP47" s="373">
        <v>353640</v>
      </c>
      <c r="AQ47" s="377"/>
      <c r="AR47" s="373"/>
      <c r="AS47" s="374"/>
      <c r="AT47" s="374"/>
      <c r="AU47" s="373">
        <v>813214</v>
      </c>
      <c r="AV47" s="377"/>
      <c r="AW47" s="373"/>
      <c r="AX47" s="374"/>
      <c r="AY47" s="374"/>
      <c r="AZ47" s="373">
        <v>318471</v>
      </c>
      <c r="BA47" s="377"/>
      <c r="BB47" s="373"/>
      <c r="BC47" s="374"/>
      <c r="BD47" s="374"/>
      <c r="BE47" s="373">
        <v>180925</v>
      </c>
      <c r="BF47" s="377"/>
      <c r="BG47" s="373"/>
      <c r="BH47" s="374"/>
      <c r="BI47" s="374"/>
      <c r="BJ47" s="373">
        <v>0</v>
      </c>
      <c r="BK47" s="377"/>
      <c r="BL47" s="373"/>
      <c r="BM47" s="374"/>
      <c r="BN47" s="374"/>
      <c r="BO47" s="373">
        <v>0</v>
      </c>
      <c r="BP47" s="377"/>
      <c r="BQ47" s="373"/>
      <c r="BR47" s="374"/>
      <c r="BS47" s="374"/>
      <c r="BT47" s="373">
        <f>SUM(L47:BO47)</f>
        <v>5283578</v>
      </c>
      <c r="BU47" s="377"/>
      <c r="BV47" s="373"/>
      <c r="BW47" s="9"/>
      <c r="BZ47" s="10"/>
      <c r="CA47" s="10"/>
    </row>
    <row r="48" spans="4:79" ht="12.75" customHeight="1" x14ac:dyDescent="0.2">
      <c r="D48" s="9" t="s">
        <v>346</v>
      </c>
      <c r="E48" s="374"/>
      <c r="F48" s="156"/>
      <c r="G48" s="373">
        <v>0</v>
      </c>
      <c r="H48" s="377"/>
      <c r="I48" s="373"/>
      <c r="J48" s="374"/>
      <c r="K48" s="374"/>
      <c r="L48" s="373">
        <v>0</v>
      </c>
      <c r="M48" s="377"/>
      <c r="N48" s="373"/>
      <c r="O48" s="374"/>
      <c r="P48" s="374"/>
      <c r="Q48" s="373">
        <v>0</v>
      </c>
      <c r="R48" s="377"/>
      <c r="S48" s="373"/>
      <c r="T48" s="374"/>
      <c r="U48" s="374"/>
      <c r="V48" s="373">
        <v>0</v>
      </c>
      <c r="W48" s="377"/>
      <c r="X48" s="373"/>
      <c r="Y48" s="374"/>
      <c r="Z48" s="374"/>
      <c r="AA48" s="373">
        <v>0</v>
      </c>
      <c r="AB48" s="377"/>
      <c r="AC48" s="373"/>
      <c r="AD48" s="374"/>
      <c r="AE48" s="374"/>
      <c r="AF48" s="373">
        <v>0</v>
      </c>
      <c r="AG48" s="377"/>
      <c r="AH48" s="373"/>
      <c r="AI48" s="374"/>
      <c r="AJ48" s="374"/>
      <c r="AK48" s="373">
        <v>0</v>
      </c>
      <c r="AL48" s="377"/>
      <c r="AM48" s="373"/>
      <c r="AN48" s="374"/>
      <c r="AO48" s="374"/>
      <c r="AP48" s="373">
        <v>0</v>
      </c>
      <c r="AQ48" s="377"/>
      <c r="AR48" s="373"/>
      <c r="AS48" s="374"/>
      <c r="AT48" s="374"/>
      <c r="AU48" s="373">
        <v>0</v>
      </c>
      <c r="AV48" s="377"/>
      <c r="AW48" s="373"/>
      <c r="AX48" s="374"/>
      <c r="AY48" s="374"/>
      <c r="AZ48" s="373">
        <v>0</v>
      </c>
      <c r="BA48" s="377"/>
      <c r="BB48" s="373"/>
      <c r="BC48" s="374"/>
      <c r="BD48" s="374"/>
      <c r="BE48" s="373">
        <v>0</v>
      </c>
      <c r="BF48" s="377"/>
      <c r="BG48" s="373"/>
      <c r="BH48" s="374"/>
      <c r="BI48" s="374"/>
      <c r="BJ48" s="373">
        <v>0</v>
      </c>
      <c r="BK48" s="377"/>
      <c r="BL48" s="373"/>
      <c r="BM48" s="374"/>
      <c r="BN48" s="374"/>
      <c r="BO48" s="373">
        <v>0</v>
      </c>
      <c r="BP48" s="377"/>
      <c r="BQ48" s="373"/>
      <c r="BR48" s="374"/>
      <c r="BS48" s="374"/>
      <c r="BT48" s="373">
        <f>SUM(L48:BO48)</f>
        <v>0</v>
      </c>
      <c r="BU48" s="377"/>
      <c r="BV48" s="373"/>
      <c r="BW48" s="9"/>
      <c r="BZ48" s="10"/>
      <c r="CA48" s="10"/>
    </row>
    <row r="49" spans="4:79" ht="12.75" customHeight="1" x14ac:dyDescent="0.2">
      <c r="D49" s="9" t="s">
        <v>347</v>
      </c>
      <c r="E49" s="374"/>
      <c r="F49" s="320"/>
      <c r="G49" s="385">
        <v>0</v>
      </c>
      <c r="H49" s="386"/>
      <c r="I49" s="373"/>
      <c r="J49" s="374"/>
      <c r="K49" s="387"/>
      <c r="L49" s="385">
        <v>312689</v>
      </c>
      <c r="M49" s="386"/>
      <c r="N49" s="373"/>
      <c r="O49" s="374"/>
      <c r="P49" s="387"/>
      <c r="Q49" s="385">
        <v>641453</v>
      </c>
      <c r="R49" s="386"/>
      <c r="S49" s="373"/>
      <c r="T49" s="374"/>
      <c r="U49" s="387"/>
      <c r="V49" s="385">
        <v>458161</v>
      </c>
      <c r="W49" s="386"/>
      <c r="X49" s="373"/>
      <c r="Y49" s="374"/>
      <c r="Z49" s="387"/>
      <c r="AA49" s="385">
        <v>895650</v>
      </c>
      <c r="AB49" s="386"/>
      <c r="AC49" s="373"/>
      <c r="AD49" s="374"/>
      <c r="AE49" s="387"/>
      <c r="AF49" s="385">
        <v>257349</v>
      </c>
      <c r="AG49" s="386"/>
      <c r="AH49" s="373"/>
      <c r="AI49" s="374"/>
      <c r="AJ49" s="387"/>
      <c r="AK49" s="385">
        <v>768632</v>
      </c>
      <c r="AL49" s="386"/>
      <c r="AM49" s="373"/>
      <c r="AN49" s="374"/>
      <c r="AO49" s="387"/>
      <c r="AP49" s="385">
        <v>319298</v>
      </c>
      <c r="AQ49" s="386"/>
      <c r="AR49" s="373"/>
      <c r="AS49" s="374"/>
      <c r="AT49" s="387"/>
      <c r="AU49" s="385">
        <v>728195</v>
      </c>
      <c r="AV49" s="386"/>
      <c r="AW49" s="373"/>
      <c r="AX49" s="374"/>
      <c r="AY49" s="387"/>
      <c r="AZ49" s="385">
        <v>334149</v>
      </c>
      <c r="BA49" s="386"/>
      <c r="BB49" s="373"/>
      <c r="BC49" s="374"/>
      <c r="BD49" s="387"/>
      <c r="BE49" s="385">
        <v>187392</v>
      </c>
      <c r="BF49" s="386"/>
      <c r="BG49" s="373"/>
      <c r="BH49" s="374"/>
      <c r="BI49" s="387"/>
      <c r="BJ49" s="385">
        <v>0</v>
      </c>
      <c r="BK49" s="386"/>
      <c r="BL49" s="373"/>
      <c r="BM49" s="374"/>
      <c r="BN49" s="387"/>
      <c r="BO49" s="385">
        <v>0</v>
      </c>
      <c r="BP49" s="386"/>
      <c r="BQ49" s="373"/>
      <c r="BR49" s="374"/>
      <c r="BS49" s="387"/>
      <c r="BT49" s="385">
        <f>SUM(L49:BO49)</f>
        <v>4902968</v>
      </c>
      <c r="BU49" s="386"/>
      <c r="BV49" s="373"/>
      <c r="BW49" s="9"/>
      <c r="BZ49" s="10"/>
      <c r="CA49" s="10"/>
    </row>
    <row r="50" spans="4:79" x14ac:dyDescent="0.2">
      <c r="D50" s="9"/>
      <c r="E50" s="374"/>
      <c r="G50" s="373"/>
      <c r="H50" s="373"/>
      <c r="I50" s="373"/>
      <c r="J50" s="374"/>
      <c r="K50" s="373"/>
      <c r="L50" s="373"/>
      <c r="M50" s="373"/>
      <c r="N50" s="373"/>
      <c r="O50" s="374"/>
      <c r="P50" s="373"/>
      <c r="Q50" s="373"/>
      <c r="R50" s="373"/>
      <c r="S50" s="373"/>
      <c r="T50" s="374"/>
      <c r="U50" s="373"/>
      <c r="V50" s="373"/>
      <c r="W50" s="373"/>
      <c r="X50" s="373"/>
      <c r="Y50" s="374"/>
      <c r="Z50" s="373"/>
      <c r="AA50" s="373"/>
      <c r="AB50" s="373"/>
      <c r="AC50" s="373"/>
      <c r="AD50" s="374"/>
      <c r="AE50" s="373"/>
      <c r="AF50" s="373"/>
      <c r="AG50" s="373"/>
      <c r="AH50" s="373"/>
      <c r="AI50" s="374"/>
      <c r="AJ50" s="373"/>
      <c r="AK50" s="373"/>
      <c r="AL50" s="373"/>
      <c r="AM50" s="373"/>
      <c r="AN50" s="374"/>
      <c r="AO50" s="373"/>
      <c r="AP50" s="373"/>
      <c r="AQ50" s="373"/>
      <c r="AR50" s="373"/>
      <c r="AS50" s="374"/>
      <c r="AT50" s="373"/>
      <c r="AU50" s="373"/>
      <c r="AV50" s="373"/>
      <c r="AW50" s="373"/>
      <c r="AX50" s="374"/>
      <c r="AY50" s="373"/>
      <c r="AZ50" s="373"/>
      <c r="BA50" s="373"/>
      <c r="BB50" s="373"/>
      <c r="BC50" s="374"/>
      <c r="BD50" s="373"/>
      <c r="BE50" s="373"/>
      <c r="BF50" s="373"/>
      <c r="BG50" s="373"/>
      <c r="BH50" s="374"/>
      <c r="BI50" s="373"/>
      <c r="BJ50" s="373"/>
      <c r="BK50" s="373"/>
      <c r="BL50" s="373"/>
      <c r="BM50" s="374"/>
      <c r="BN50" s="373"/>
      <c r="BO50" s="373"/>
      <c r="BP50" s="373"/>
      <c r="BQ50" s="373"/>
      <c r="BR50" s="374"/>
      <c r="BS50" s="373"/>
      <c r="BT50" s="373"/>
      <c r="BU50" s="373"/>
      <c r="BV50" s="373"/>
      <c r="BW50" s="9"/>
      <c r="BZ50" s="10"/>
      <c r="CA50" s="10"/>
    </row>
    <row r="51" spans="4:79" ht="12.75" customHeight="1" x14ac:dyDescent="0.2">
      <c r="D51" s="9" t="s">
        <v>352</v>
      </c>
      <c r="E51" s="374"/>
      <c r="G51" s="373">
        <f>SUM(G52:G54)</f>
        <v>0</v>
      </c>
      <c r="H51" s="373"/>
      <c r="I51" s="373"/>
      <c r="J51" s="374"/>
      <c r="K51" s="373"/>
      <c r="L51" s="373">
        <f>SUM(L52:L54)</f>
        <v>1510000</v>
      </c>
      <c r="M51" s="373"/>
      <c r="N51" s="373"/>
      <c r="O51" s="374"/>
      <c r="P51" s="373"/>
      <c r="Q51" s="373">
        <f>SUM(Q52:Q54)</f>
        <v>7508000</v>
      </c>
      <c r="R51" s="373"/>
      <c r="S51" s="373"/>
      <c r="T51" s="374"/>
      <c r="U51" s="373"/>
      <c r="V51" s="373">
        <f>SUM(V52:V54)</f>
        <v>8200000</v>
      </c>
      <c r="W51" s="373"/>
      <c r="X51" s="373"/>
      <c r="Y51" s="374"/>
      <c r="Z51" s="373"/>
      <c r="AA51" s="373">
        <f>SUM(AA52:AA54)</f>
        <v>3508000</v>
      </c>
      <c r="AB51" s="373"/>
      <c r="AC51" s="373"/>
      <c r="AD51" s="374"/>
      <c r="AE51" s="373"/>
      <c r="AF51" s="373">
        <f>SUM(AF52:AF54)</f>
        <v>0</v>
      </c>
      <c r="AG51" s="373"/>
      <c r="AH51" s="373"/>
      <c r="AI51" s="374"/>
      <c r="AJ51" s="373"/>
      <c r="AK51" s="373">
        <f>SUM(AK52:AK54)</f>
        <v>6391000</v>
      </c>
      <c r="AL51" s="373"/>
      <c r="AM51" s="373"/>
      <c r="AN51" s="374"/>
      <c r="AO51" s="373"/>
      <c r="AP51" s="373">
        <f>SUM(AP52:AP54)</f>
        <v>0</v>
      </c>
      <c r="AQ51" s="373"/>
      <c r="AR51" s="373"/>
      <c r="AS51" s="374"/>
      <c r="AT51" s="373"/>
      <c r="AU51" s="373">
        <f>SUM(AU52:AU54)</f>
        <v>6646000</v>
      </c>
      <c r="AV51" s="373"/>
      <c r="AW51" s="373"/>
      <c r="AX51" s="374"/>
      <c r="AY51" s="373"/>
      <c r="AZ51" s="373">
        <f>SUM(AZ52:AZ54)</f>
        <v>2151000</v>
      </c>
      <c r="BA51" s="373"/>
      <c r="BB51" s="373"/>
      <c r="BC51" s="374"/>
      <c r="BD51" s="373"/>
      <c r="BE51" s="373">
        <f>SUM(BE52:BE54)</f>
        <v>4397000</v>
      </c>
      <c r="BF51" s="373"/>
      <c r="BG51" s="373"/>
      <c r="BH51" s="374"/>
      <c r="BI51" s="373"/>
      <c r="BJ51" s="373">
        <f>SUM(BJ52:BJ54)</f>
        <v>0</v>
      </c>
      <c r="BK51" s="373"/>
      <c r="BL51" s="373"/>
      <c r="BM51" s="374"/>
      <c r="BN51" s="373"/>
      <c r="BO51" s="373">
        <f>SUM(BO52:BO54)</f>
        <v>0</v>
      </c>
      <c r="BP51" s="373"/>
      <c r="BQ51" s="373"/>
      <c r="BR51" s="374"/>
      <c r="BS51" s="373"/>
      <c r="BT51" s="373">
        <f>SUM(BT52:BT54)</f>
        <v>40311000</v>
      </c>
      <c r="BU51" s="373"/>
      <c r="BV51" s="373"/>
      <c r="BW51" s="9"/>
      <c r="BZ51" s="10"/>
      <c r="CA51" s="10"/>
    </row>
    <row r="52" spans="4:79" ht="12.75" customHeight="1" x14ac:dyDescent="0.2">
      <c r="D52" s="9" t="s">
        <v>343</v>
      </c>
      <c r="E52" s="374"/>
      <c r="F52" s="309"/>
      <c r="G52" s="371">
        <v>0</v>
      </c>
      <c r="H52" s="372"/>
      <c r="I52" s="373"/>
      <c r="J52" s="374"/>
      <c r="K52" s="375"/>
      <c r="L52" s="371">
        <f>1510000-253860</f>
        <v>1256140</v>
      </c>
      <c r="M52" s="372"/>
      <c r="N52" s="373"/>
      <c r="O52" s="374"/>
      <c r="P52" s="375"/>
      <c r="Q52" s="371">
        <f>7508000-917243</f>
        <v>6590757</v>
      </c>
      <c r="R52" s="372"/>
      <c r="S52" s="373"/>
      <c r="T52" s="374"/>
      <c r="U52" s="375"/>
      <c r="V52" s="371">
        <f>8200000-1034972</f>
        <v>7165028</v>
      </c>
      <c r="W52" s="372"/>
      <c r="X52" s="373"/>
      <c r="Y52" s="374"/>
      <c r="Z52" s="375"/>
      <c r="AA52" s="371">
        <f>3508000-491482</f>
        <v>3016518</v>
      </c>
      <c r="AB52" s="372"/>
      <c r="AC52" s="373"/>
      <c r="AD52" s="374"/>
      <c r="AE52" s="375"/>
      <c r="AF52" s="371">
        <v>0</v>
      </c>
      <c r="AG52" s="372"/>
      <c r="AH52" s="373"/>
      <c r="AI52" s="374"/>
      <c r="AJ52" s="375"/>
      <c r="AK52" s="371">
        <f>6391000-983778</f>
        <v>5407222</v>
      </c>
      <c r="AL52" s="372"/>
      <c r="AM52" s="373"/>
      <c r="AN52" s="374"/>
      <c r="AO52" s="375"/>
      <c r="AP52" s="371">
        <v>0</v>
      </c>
      <c r="AQ52" s="372"/>
      <c r="AR52" s="373"/>
      <c r="AS52" s="374"/>
      <c r="AT52" s="375"/>
      <c r="AU52" s="371">
        <f>6646000-988220</f>
        <v>5657780</v>
      </c>
      <c r="AV52" s="372"/>
      <c r="AW52" s="373"/>
      <c r="AX52" s="374"/>
      <c r="AY52" s="375"/>
      <c r="AZ52" s="371">
        <f>2151000-262780</f>
        <v>1888220</v>
      </c>
      <c r="BA52" s="372"/>
      <c r="BB52" s="373"/>
      <c r="BC52" s="374"/>
      <c r="BD52" s="375"/>
      <c r="BE52" s="371">
        <f>4397000-540028</f>
        <v>3856972</v>
      </c>
      <c r="BF52" s="372"/>
      <c r="BG52" s="373"/>
      <c r="BH52" s="374"/>
      <c r="BI52" s="375"/>
      <c r="BJ52" s="371">
        <v>0</v>
      </c>
      <c r="BK52" s="372"/>
      <c r="BL52" s="373"/>
      <c r="BM52" s="374"/>
      <c r="BN52" s="375"/>
      <c r="BO52" s="371">
        <v>0</v>
      </c>
      <c r="BP52" s="372"/>
      <c r="BQ52" s="373"/>
      <c r="BR52" s="374"/>
      <c r="BS52" s="375"/>
      <c r="BT52" s="371">
        <f>SUM(L52:BO52)</f>
        <v>34838637</v>
      </c>
      <c r="BU52" s="372"/>
      <c r="BV52" s="373"/>
      <c r="BW52" s="9"/>
      <c r="BZ52" s="10"/>
      <c r="CA52" s="10"/>
    </row>
    <row r="53" spans="4:79" ht="12.75" customHeight="1" x14ac:dyDescent="0.2">
      <c r="D53" s="9" t="s">
        <v>345</v>
      </c>
      <c r="E53" s="374"/>
      <c r="F53" s="156"/>
      <c r="G53" s="373">
        <v>0</v>
      </c>
      <c r="H53" s="377"/>
      <c r="I53" s="373"/>
      <c r="J53" s="374"/>
      <c r="K53" s="374"/>
      <c r="L53" s="373">
        <v>253860</v>
      </c>
      <c r="M53" s="377"/>
      <c r="N53" s="373"/>
      <c r="O53" s="374"/>
      <c r="P53" s="374"/>
      <c r="Q53" s="373">
        <v>917243</v>
      </c>
      <c r="R53" s="377"/>
      <c r="S53" s="373"/>
      <c r="T53" s="374"/>
      <c r="U53" s="374"/>
      <c r="V53" s="373">
        <v>1034972</v>
      </c>
      <c r="W53" s="377"/>
      <c r="X53" s="373"/>
      <c r="Y53" s="374"/>
      <c r="Z53" s="374"/>
      <c r="AA53" s="373">
        <v>491482</v>
      </c>
      <c r="AB53" s="377"/>
      <c r="AC53" s="373"/>
      <c r="AD53" s="374"/>
      <c r="AE53" s="374"/>
      <c r="AF53" s="373">
        <v>0</v>
      </c>
      <c r="AG53" s="377"/>
      <c r="AH53" s="373"/>
      <c r="AI53" s="374"/>
      <c r="AJ53" s="374"/>
      <c r="AK53" s="373">
        <v>983778</v>
      </c>
      <c r="AL53" s="377"/>
      <c r="AM53" s="373"/>
      <c r="AN53" s="374"/>
      <c r="AO53" s="374"/>
      <c r="AP53" s="373">
        <v>0</v>
      </c>
      <c r="AQ53" s="377"/>
      <c r="AR53" s="373"/>
      <c r="AS53" s="374"/>
      <c r="AT53" s="374"/>
      <c r="AU53" s="373">
        <v>988220</v>
      </c>
      <c r="AV53" s="377"/>
      <c r="AW53" s="373"/>
      <c r="AX53" s="374"/>
      <c r="AY53" s="374"/>
      <c r="AZ53" s="373">
        <v>262780</v>
      </c>
      <c r="BA53" s="377"/>
      <c r="BB53" s="373"/>
      <c r="BC53" s="374"/>
      <c r="BD53" s="374"/>
      <c r="BE53" s="373">
        <v>540028</v>
      </c>
      <c r="BF53" s="377"/>
      <c r="BG53" s="373"/>
      <c r="BH53" s="374"/>
      <c r="BI53" s="374"/>
      <c r="BJ53" s="373">
        <v>0</v>
      </c>
      <c r="BK53" s="377"/>
      <c r="BL53" s="373"/>
      <c r="BM53" s="374"/>
      <c r="BN53" s="374"/>
      <c r="BO53" s="373">
        <v>0</v>
      </c>
      <c r="BP53" s="377"/>
      <c r="BQ53" s="373"/>
      <c r="BR53" s="374"/>
      <c r="BS53" s="374"/>
      <c r="BT53" s="373">
        <f>SUM(L53:BO53)</f>
        <v>5472363</v>
      </c>
      <c r="BU53" s="377"/>
      <c r="BV53" s="373"/>
      <c r="BW53" s="9"/>
      <c r="BZ53" s="10"/>
      <c r="CA53" s="10"/>
    </row>
    <row r="54" spans="4:79" ht="12.75" customHeight="1" x14ac:dyDescent="0.2">
      <c r="D54" s="9" t="s">
        <v>353</v>
      </c>
      <c r="E54" s="374"/>
      <c r="F54" s="320"/>
      <c r="G54" s="385">
        <v>0</v>
      </c>
      <c r="H54" s="386"/>
      <c r="I54" s="373"/>
      <c r="J54" s="374"/>
      <c r="K54" s="387"/>
      <c r="L54" s="385">
        <v>0</v>
      </c>
      <c r="M54" s="386"/>
      <c r="N54" s="373"/>
      <c r="O54" s="374"/>
      <c r="P54" s="387"/>
      <c r="Q54" s="385">
        <v>0</v>
      </c>
      <c r="R54" s="386"/>
      <c r="S54" s="373"/>
      <c r="T54" s="374"/>
      <c r="U54" s="387"/>
      <c r="V54" s="385">
        <v>0</v>
      </c>
      <c r="W54" s="386"/>
      <c r="X54" s="373"/>
      <c r="Y54" s="374"/>
      <c r="Z54" s="387"/>
      <c r="AA54" s="385">
        <v>0</v>
      </c>
      <c r="AB54" s="386"/>
      <c r="AC54" s="373"/>
      <c r="AD54" s="374"/>
      <c r="AE54" s="387"/>
      <c r="AF54" s="385">
        <v>0</v>
      </c>
      <c r="AG54" s="386"/>
      <c r="AH54" s="373"/>
      <c r="AI54" s="374"/>
      <c r="AJ54" s="387"/>
      <c r="AK54" s="385">
        <v>0</v>
      </c>
      <c r="AL54" s="386"/>
      <c r="AM54" s="373"/>
      <c r="AN54" s="374"/>
      <c r="AO54" s="387"/>
      <c r="AP54" s="385">
        <v>0</v>
      </c>
      <c r="AQ54" s="386"/>
      <c r="AR54" s="373"/>
      <c r="AS54" s="374"/>
      <c r="AT54" s="387"/>
      <c r="AU54" s="385">
        <v>0</v>
      </c>
      <c r="AV54" s="386"/>
      <c r="AW54" s="373"/>
      <c r="AX54" s="374"/>
      <c r="AY54" s="387"/>
      <c r="AZ54" s="385">
        <v>0</v>
      </c>
      <c r="BA54" s="386"/>
      <c r="BB54" s="373"/>
      <c r="BC54" s="374"/>
      <c r="BD54" s="387"/>
      <c r="BE54" s="385">
        <v>0</v>
      </c>
      <c r="BF54" s="386"/>
      <c r="BG54" s="373"/>
      <c r="BH54" s="374"/>
      <c r="BI54" s="387"/>
      <c r="BJ54" s="385">
        <v>0</v>
      </c>
      <c r="BK54" s="386"/>
      <c r="BL54" s="373"/>
      <c r="BM54" s="374"/>
      <c r="BN54" s="387"/>
      <c r="BO54" s="385">
        <v>0</v>
      </c>
      <c r="BP54" s="386"/>
      <c r="BQ54" s="373"/>
      <c r="BR54" s="374"/>
      <c r="BS54" s="387"/>
      <c r="BT54" s="385">
        <f>SUM(L54:BO54)</f>
        <v>0</v>
      </c>
      <c r="BU54" s="386"/>
      <c r="BV54" s="373"/>
      <c r="BW54" s="9"/>
      <c r="BZ54" s="10"/>
      <c r="CA54" s="10"/>
    </row>
    <row r="55" spans="4:79" ht="12.75" customHeight="1" x14ac:dyDescent="0.2">
      <c r="D55" s="9"/>
      <c r="E55" s="374"/>
      <c r="G55" s="373"/>
      <c r="H55" s="373"/>
      <c r="I55" s="373"/>
      <c r="J55" s="374"/>
      <c r="K55" s="373"/>
      <c r="L55" s="373"/>
      <c r="M55" s="373"/>
      <c r="N55" s="373"/>
      <c r="O55" s="374"/>
      <c r="P55" s="373"/>
      <c r="Q55" s="373"/>
      <c r="R55" s="373"/>
      <c r="S55" s="373"/>
      <c r="T55" s="374"/>
      <c r="U55" s="373"/>
      <c r="V55" s="373"/>
      <c r="W55" s="373"/>
      <c r="X55" s="373"/>
      <c r="Y55" s="374"/>
      <c r="Z55" s="373"/>
      <c r="AA55" s="373"/>
      <c r="AB55" s="373"/>
      <c r="AC55" s="373"/>
      <c r="AD55" s="374"/>
      <c r="AE55" s="373"/>
      <c r="AF55" s="373"/>
      <c r="AG55" s="373"/>
      <c r="AH55" s="373"/>
      <c r="AI55" s="374"/>
      <c r="AJ55" s="373"/>
      <c r="AK55" s="373"/>
      <c r="AL55" s="373"/>
      <c r="AM55" s="373"/>
      <c r="AN55" s="374"/>
      <c r="AO55" s="373"/>
      <c r="AP55" s="373"/>
      <c r="AQ55" s="373"/>
      <c r="AR55" s="373"/>
      <c r="AS55" s="374"/>
      <c r="AT55" s="373"/>
      <c r="AU55" s="373"/>
      <c r="AV55" s="373"/>
      <c r="AW55" s="373"/>
      <c r="AX55" s="374"/>
      <c r="AY55" s="373"/>
      <c r="AZ55" s="373"/>
      <c r="BA55" s="373"/>
      <c r="BB55" s="373"/>
      <c r="BC55" s="374"/>
      <c r="BD55" s="373"/>
      <c r="BE55" s="373"/>
      <c r="BF55" s="373"/>
      <c r="BG55" s="373"/>
      <c r="BH55" s="374"/>
      <c r="BI55" s="373"/>
      <c r="BJ55" s="373"/>
      <c r="BK55" s="373"/>
      <c r="BL55" s="373"/>
      <c r="BM55" s="374"/>
      <c r="BN55" s="373"/>
      <c r="BO55" s="373"/>
      <c r="BP55" s="373"/>
      <c r="BQ55" s="373"/>
      <c r="BR55" s="374"/>
      <c r="BS55" s="373"/>
      <c r="BT55" s="373"/>
      <c r="BU55" s="373"/>
      <c r="BV55" s="373"/>
      <c r="BW55" s="9"/>
      <c r="BZ55" s="10"/>
      <c r="CA55" s="10"/>
    </row>
    <row r="56" spans="4:79" x14ac:dyDescent="0.2">
      <c r="D56" s="9" t="s">
        <v>354</v>
      </c>
      <c r="E56" s="374"/>
      <c r="G56" s="373">
        <f>SUM(G57:G59)</f>
        <v>0</v>
      </c>
      <c r="H56" s="373"/>
      <c r="I56" s="373"/>
      <c r="J56" s="374"/>
      <c r="K56" s="373"/>
      <c r="L56" s="373">
        <f>SUM(L57:L59)</f>
        <v>6933000</v>
      </c>
      <c r="M56" s="373"/>
      <c r="N56" s="373"/>
      <c r="O56" s="374"/>
      <c r="P56" s="373"/>
      <c r="Q56" s="373">
        <f>SUM(Q57:Q59)</f>
        <v>9652000</v>
      </c>
      <c r="R56" s="373"/>
      <c r="S56" s="373"/>
      <c r="T56" s="374"/>
      <c r="U56" s="373"/>
      <c r="V56" s="373">
        <f>SUM(V57:V59)</f>
        <v>5365000</v>
      </c>
      <c r="W56" s="373"/>
      <c r="X56" s="373"/>
      <c r="Y56" s="374"/>
      <c r="Z56" s="373"/>
      <c r="AA56" s="373">
        <f>SUM(AA57:AA59)</f>
        <v>19611000</v>
      </c>
      <c r="AB56" s="373"/>
      <c r="AC56" s="373"/>
      <c r="AD56" s="374"/>
      <c r="AE56" s="373"/>
      <c r="AF56" s="373">
        <f>SUM(AF57:AF59)</f>
        <v>7976000</v>
      </c>
      <c r="AG56" s="373"/>
      <c r="AH56" s="373"/>
      <c r="AI56" s="374"/>
      <c r="AJ56" s="373"/>
      <c r="AK56" s="373">
        <f>SUM(AK57:AK59)</f>
        <v>4403000</v>
      </c>
      <c r="AL56" s="373"/>
      <c r="AM56" s="373"/>
      <c r="AN56" s="374"/>
      <c r="AO56" s="373"/>
      <c r="AP56" s="373">
        <f>SUM(AP57:AP59)</f>
        <v>12162000</v>
      </c>
      <c r="AQ56" s="373"/>
      <c r="AR56" s="373"/>
      <c r="AS56" s="374"/>
      <c r="AT56" s="373"/>
      <c r="AU56" s="373">
        <f>SUM(AU57:AU59)</f>
        <v>4448000</v>
      </c>
      <c r="AV56" s="373"/>
      <c r="AW56" s="373"/>
      <c r="AX56" s="374"/>
      <c r="AY56" s="373"/>
      <c r="AZ56" s="373">
        <f>SUM(AZ57:AZ59)</f>
        <v>12828000</v>
      </c>
      <c r="BA56" s="373"/>
      <c r="BB56" s="373"/>
      <c r="BC56" s="374"/>
      <c r="BD56" s="373"/>
      <c r="BE56" s="373">
        <f>SUM(BE57:BE59)</f>
        <v>6604000</v>
      </c>
      <c r="BF56" s="373"/>
      <c r="BG56" s="373"/>
      <c r="BH56" s="374"/>
      <c r="BI56" s="373"/>
      <c r="BJ56" s="373">
        <f>SUM(BJ57:BJ59)</f>
        <v>0</v>
      </c>
      <c r="BK56" s="373"/>
      <c r="BL56" s="373"/>
      <c r="BM56" s="374"/>
      <c r="BN56" s="373"/>
      <c r="BO56" s="373">
        <f>SUM(BO57:BO59)</f>
        <v>0</v>
      </c>
      <c r="BP56" s="373"/>
      <c r="BQ56" s="373"/>
      <c r="BR56" s="374"/>
      <c r="BS56" s="373"/>
      <c r="BT56" s="373">
        <f>SUM(BT57:BT59)</f>
        <v>89982000</v>
      </c>
      <c r="BU56" s="373"/>
      <c r="BV56" s="373"/>
      <c r="BW56" s="9"/>
      <c r="BZ56" s="10"/>
      <c r="CA56" s="10"/>
    </row>
    <row r="57" spans="4:79" x14ac:dyDescent="0.2">
      <c r="D57" s="9" t="s">
        <v>343</v>
      </c>
      <c r="E57" s="374"/>
      <c r="F57" s="309"/>
      <c r="G57" s="371">
        <v>0</v>
      </c>
      <c r="H57" s="372"/>
      <c r="I57" s="373"/>
      <c r="J57" s="374"/>
      <c r="K57" s="375"/>
      <c r="L57" s="371">
        <f>6933000+289208</f>
        <v>7222208</v>
      </c>
      <c r="M57" s="372"/>
      <c r="N57" s="373"/>
      <c r="O57" s="374"/>
      <c r="P57" s="375"/>
      <c r="Q57" s="371">
        <f>9652000+1102248</f>
        <v>10754248</v>
      </c>
      <c r="R57" s="372"/>
      <c r="S57" s="373"/>
      <c r="T57" s="374"/>
      <c r="U57" s="375"/>
      <c r="V57" s="371">
        <f>5365000+764417</f>
        <v>6129417</v>
      </c>
      <c r="W57" s="372"/>
      <c r="X57" s="373"/>
      <c r="Y57" s="374"/>
      <c r="Z57" s="375"/>
      <c r="AA57" s="371">
        <f>19611000+2780721</f>
        <v>22391721</v>
      </c>
      <c r="AB57" s="372"/>
      <c r="AC57" s="373"/>
      <c r="AD57" s="374"/>
      <c r="AE57" s="375"/>
      <c r="AF57" s="371">
        <f>7976000+1213553</f>
        <v>9189553</v>
      </c>
      <c r="AG57" s="372"/>
      <c r="AH57" s="373"/>
      <c r="AI57" s="374"/>
      <c r="AJ57" s="375"/>
      <c r="AK57" s="371">
        <f>4403000+716835</f>
        <v>5119835</v>
      </c>
      <c r="AL57" s="372"/>
      <c r="AM57" s="373"/>
      <c r="AN57" s="374"/>
      <c r="AO57" s="375"/>
      <c r="AP57" s="371">
        <f>12162000+2010551</f>
        <v>14172551</v>
      </c>
      <c r="AQ57" s="372"/>
      <c r="AR57" s="373"/>
      <c r="AS57" s="374"/>
      <c r="AT57" s="375"/>
      <c r="AU57" s="371">
        <f>4448000+777625</f>
        <v>5225625</v>
      </c>
      <c r="AV57" s="372"/>
      <c r="AW57" s="373"/>
      <c r="AX57" s="374"/>
      <c r="AY57" s="375"/>
      <c r="AZ57" s="371">
        <f>12828000+2213621</f>
        <v>15041621</v>
      </c>
      <c r="BA57" s="372"/>
      <c r="BB57" s="373"/>
      <c r="BC57" s="374"/>
      <c r="BD57" s="375"/>
      <c r="BE57" s="371">
        <f>6604000+1216723</f>
        <v>7820723</v>
      </c>
      <c r="BF57" s="372"/>
      <c r="BG57" s="373"/>
      <c r="BH57" s="374"/>
      <c r="BI57" s="375"/>
      <c r="BJ57" s="371">
        <v>0</v>
      </c>
      <c r="BK57" s="372"/>
      <c r="BL57" s="373"/>
      <c r="BM57" s="374"/>
      <c r="BN57" s="375"/>
      <c r="BO57" s="371">
        <v>0</v>
      </c>
      <c r="BP57" s="372"/>
      <c r="BQ57" s="373"/>
      <c r="BR57" s="374"/>
      <c r="BS57" s="375"/>
      <c r="BT57" s="371">
        <f>SUM(L57:BO57)</f>
        <v>103067502</v>
      </c>
      <c r="BU57" s="372"/>
      <c r="BV57" s="373"/>
      <c r="BW57" s="9"/>
      <c r="BZ57" s="10"/>
      <c r="CA57" s="10"/>
    </row>
    <row r="58" spans="4:79" x14ac:dyDescent="0.2">
      <c r="D58" s="9" t="s">
        <v>345</v>
      </c>
      <c r="E58" s="374"/>
      <c r="F58" s="156"/>
      <c r="G58" s="373">
        <v>0</v>
      </c>
      <c r="H58" s="377"/>
      <c r="I58" s="373"/>
      <c r="J58" s="374"/>
      <c r="K58" s="374"/>
      <c r="L58" s="373">
        <v>0</v>
      </c>
      <c r="M58" s="377"/>
      <c r="N58" s="373"/>
      <c r="O58" s="374"/>
      <c r="P58" s="374"/>
      <c r="Q58" s="373">
        <v>0</v>
      </c>
      <c r="R58" s="377"/>
      <c r="S58" s="373"/>
      <c r="T58" s="374"/>
      <c r="U58" s="374"/>
      <c r="V58" s="373">
        <v>0</v>
      </c>
      <c r="W58" s="377"/>
      <c r="X58" s="373"/>
      <c r="Y58" s="374"/>
      <c r="Z58" s="374"/>
      <c r="AA58" s="373">
        <v>0</v>
      </c>
      <c r="AB58" s="377"/>
      <c r="AC58" s="373"/>
      <c r="AD58" s="374"/>
      <c r="AE58" s="374"/>
      <c r="AF58" s="373">
        <v>0</v>
      </c>
      <c r="AG58" s="377"/>
      <c r="AH58" s="373"/>
      <c r="AI58" s="374"/>
      <c r="AJ58" s="374"/>
      <c r="AK58" s="373">
        <v>0</v>
      </c>
      <c r="AL58" s="377"/>
      <c r="AM58" s="373"/>
      <c r="AN58" s="374"/>
      <c r="AO58" s="374"/>
      <c r="AP58" s="373">
        <v>0</v>
      </c>
      <c r="AQ58" s="377"/>
      <c r="AR58" s="373"/>
      <c r="AS58" s="374"/>
      <c r="AT58" s="374"/>
      <c r="AU58" s="373">
        <v>0</v>
      </c>
      <c r="AV58" s="377"/>
      <c r="AW58" s="373"/>
      <c r="AX58" s="374"/>
      <c r="AY58" s="374"/>
      <c r="AZ58" s="373">
        <v>0</v>
      </c>
      <c r="BA58" s="377"/>
      <c r="BB58" s="373"/>
      <c r="BC58" s="374"/>
      <c r="BD58" s="374"/>
      <c r="BE58" s="373">
        <v>0</v>
      </c>
      <c r="BF58" s="377"/>
      <c r="BG58" s="373"/>
      <c r="BH58" s="374"/>
      <c r="BI58" s="374"/>
      <c r="BJ58" s="373">
        <v>0</v>
      </c>
      <c r="BK58" s="377"/>
      <c r="BL58" s="373"/>
      <c r="BM58" s="374"/>
      <c r="BN58" s="374"/>
      <c r="BO58" s="373">
        <v>0</v>
      </c>
      <c r="BP58" s="377"/>
      <c r="BQ58" s="373"/>
      <c r="BR58" s="374"/>
      <c r="BS58" s="374"/>
      <c r="BT58" s="373">
        <f>SUM(L58:BO58)</f>
        <v>0</v>
      </c>
      <c r="BU58" s="377"/>
      <c r="BV58" s="373"/>
      <c r="BW58" s="9"/>
      <c r="BZ58" s="10"/>
      <c r="CA58" s="10"/>
    </row>
    <row r="59" spans="4:79" x14ac:dyDescent="0.2">
      <c r="D59" s="9" t="s">
        <v>353</v>
      </c>
      <c r="E59" s="374"/>
      <c r="F59" s="320"/>
      <c r="G59" s="385">
        <v>0</v>
      </c>
      <c r="H59" s="386"/>
      <c r="I59" s="373"/>
      <c r="J59" s="374"/>
      <c r="K59" s="387"/>
      <c r="L59" s="385">
        <v>-289208</v>
      </c>
      <c r="M59" s="386"/>
      <c r="N59" s="373"/>
      <c r="O59" s="374"/>
      <c r="P59" s="387"/>
      <c r="Q59" s="385">
        <v>-1102248</v>
      </c>
      <c r="R59" s="386"/>
      <c r="S59" s="373"/>
      <c r="T59" s="374"/>
      <c r="U59" s="387"/>
      <c r="V59" s="385">
        <v>-764417</v>
      </c>
      <c r="W59" s="386"/>
      <c r="X59" s="373"/>
      <c r="Y59" s="374"/>
      <c r="Z59" s="387"/>
      <c r="AA59" s="385">
        <v>-2780721</v>
      </c>
      <c r="AB59" s="386"/>
      <c r="AC59" s="373"/>
      <c r="AD59" s="374"/>
      <c r="AE59" s="387"/>
      <c r="AF59" s="385">
        <v>-1213553</v>
      </c>
      <c r="AG59" s="386"/>
      <c r="AH59" s="373"/>
      <c r="AI59" s="374"/>
      <c r="AJ59" s="387"/>
      <c r="AK59" s="385">
        <v>-716835</v>
      </c>
      <c r="AL59" s="386"/>
      <c r="AM59" s="373"/>
      <c r="AN59" s="374"/>
      <c r="AO59" s="387"/>
      <c r="AP59" s="385">
        <v>-2010551</v>
      </c>
      <c r="AQ59" s="386"/>
      <c r="AR59" s="373"/>
      <c r="AS59" s="374"/>
      <c r="AT59" s="387"/>
      <c r="AU59" s="385">
        <v>-777625</v>
      </c>
      <c r="AV59" s="386"/>
      <c r="AW59" s="373"/>
      <c r="AX59" s="374"/>
      <c r="AY59" s="387"/>
      <c r="AZ59" s="385">
        <v>-2213621</v>
      </c>
      <c r="BA59" s="386"/>
      <c r="BB59" s="373"/>
      <c r="BC59" s="374"/>
      <c r="BD59" s="387"/>
      <c r="BE59" s="385">
        <v>-1216723</v>
      </c>
      <c r="BF59" s="386"/>
      <c r="BG59" s="373"/>
      <c r="BH59" s="374"/>
      <c r="BI59" s="387"/>
      <c r="BJ59" s="385">
        <v>0</v>
      </c>
      <c r="BK59" s="386"/>
      <c r="BL59" s="373"/>
      <c r="BM59" s="374"/>
      <c r="BN59" s="387"/>
      <c r="BO59" s="385">
        <v>0</v>
      </c>
      <c r="BP59" s="386"/>
      <c r="BQ59" s="373"/>
      <c r="BR59" s="374"/>
      <c r="BS59" s="387"/>
      <c r="BT59" s="385">
        <f>SUM(L59:BO59)</f>
        <v>-13085502</v>
      </c>
      <c r="BU59" s="386"/>
      <c r="BV59" s="373"/>
      <c r="BW59" s="9"/>
      <c r="BZ59" s="10"/>
      <c r="CA59" s="10"/>
    </row>
    <row r="60" spans="4:79" x14ac:dyDescent="0.2">
      <c r="D60" s="9"/>
      <c r="E60" s="374"/>
      <c r="G60" s="373"/>
      <c r="H60" s="373"/>
      <c r="I60" s="373"/>
      <c r="J60" s="374"/>
      <c r="K60" s="373"/>
      <c r="L60" s="373"/>
      <c r="M60" s="373"/>
      <c r="N60" s="373"/>
      <c r="O60" s="374"/>
      <c r="P60" s="373"/>
      <c r="Q60" s="373"/>
      <c r="R60" s="373"/>
      <c r="S60" s="373"/>
      <c r="T60" s="374"/>
      <c r="U60" s="373"/>
      <c r="V60" s="373"/>
      <c r="W60" s="373"/>
      <c r="X60" s="373"/>
      <c r="Y60" s="374"/>
      <c r="Z60" s="373"/>
      <c r="AA60" s="373"/>
      <c r="AB60" s="373"/>
      <c r="AC60" s="373"/>
      <c r="AD60" s="374"/>
      <c r="AE60" s="373"/>
      <c r="AF60" s="373"/>
      <c r="AG60" s="373"/>
      <c r="AH60" s="373"/>
      <c r="AI60" s="374"/>
      <c r="AJ60" s="373"/>
      <c r="AK60" s="373"/>
      <c r="AL60" s="373"/>
      <c r="AM60" s="373"/>
      <c r="AN60" s="374"/>
      <c r="AO60" s="373"/>
      <c r="AP60" s="373"/>
      <c r="AQ60" s="373"/>
      <c r="AR60" s="373"/>
      <c r="AS60" s="374"/>
      <c r="AT60" s="373"/>
      <c r="AU60" s="373"/>
      <c r="AV60" s="373"/>
      <c r="AW60" s="373"/>
      <c r="AX60" s="374"/>
      <c r="AY60" s="373"/>
      <c r="AZ60" s="373"/>
      <c r="BA60" s="373"/>
      <c r="BB60" s="373"/>
      <c r="BC60" s="374"/>
      <c r="BD60" s="373"/>
      <c r="BE60" s="373"/>
      <c r="BF60" s="373"/>
      <c r="BG60" s="373"/>
      <c r="BH60" s="374"/>
      <c r="BI60" s="373"/>
      <c r="BJ60" s="373"/>
      <c r="BK60" s="373"/>
      <c r="BL60" s="373"/>
      <c r="BM60" s="374"/>
      <c r="BN60" s="373"/>
      <c r="BO60" s="373"/>
      <c r="BP60" s="373"/>
      <c r="BQ60" s="373"/>
      <c r="BR60" s="374"/>
      <c r="BS60" s="373"/>
      <c r="BT60" s="373"/>
      <c r="BU60" s="373"/>
      <c r="BV60" s="373"/>
      <c r="BW60" s="9"/>
      <c r="BZ60" s="10"/>
      <c r="CA60" s="10"/>
    </row>
    <row r="61" spans="4:79" ht="12.75" hidden="1" customHeight="1" x14ac:dyDescent="0.2">
      <c r="D61" s="9" t="s">
        <v>355</v>
      </c>
      <c r="E61" s="374"/>
      <c r="G61" s="373">
        <f>SUM(G62:G65)</f>
        <v>0</v>
      </c>
      <c r="H61" s="373"/>
      <c r="I61" s="373"/>
      <c r="J61" s="374"/>
      <c r="K61" s="373"/>
      <c r="L61" s="373">
        <f>SUM(L62:L65)</f>
        <v>0</v>
      </c>
      <c r="M61" s="373"/>
      <c r="N61" s="373"/>
      <c r="O61" s="374"/>
      <c r="P61" s="373"/>
      <c r="Q61" s="373">
        <f>SUM(Q62:Q65)</f>
        <v>0</v>
      </c>
      <c r="R61" s="373"/>
      <c r="S61" s="373"/>
      <c r="T61" s="374"/>
      <c r="U61" s="373"/>
      <c r="V61" s="373">
        <f>SUM(V62:V65)</f>
        <v>0</v>
      </c>
      <c r="W61" s="373"/>
      <c r="X61" s="373"/>
      <c r="Y61" s="374"/>
      <c r="Z61" s="373"/>
      <c r="AA61" s="373">
        <f>SUM(AA62:AA65)</f>
        <v>0</v>
      </c>
      <c r="AB61" s="373"/>
      <c r="AC61" s="373"/>
      <c r="AD61" s="374"/>
      <c r="AE61" s="373"/>
      <c r="AF61" s="373">
        <f>SUM(AF62:AF65)</f>
        <v>0</v>
      </c>
      <c r="AG61" s="373"/>
      <c r="AH61" s="373"/>
      <c r="AI61" s="374"/>
      <c r="AJ61" s="373"/>
      <c r="AK61" s="373">
        <f>SUM(AK62:AK65)</f>
        <v>0</v>
      </c>
      <c r="AL61" s="373"/>
      <c r="AM61" s="373"/>
      <c r="AN61" s="374"/>
      <c r="AO61" s="373"/>
      <c r="AP61" s="373">
        <f>SUM(AP62:AP65)</f>
        <v>0</v>
      </c>
      <c r="AQ61" s="373"/>
      <c r="AR61" s="373"/>
      <c r="AS61" s="374"/>
      <c r="AT61" s="373"/>
      <c r="AU61" s="373">
        <f>SUM(AU62:AU65)</f>
        <v>0</v>
      </c>
      <c r="AV61" s="373"/>
      <c r="AW61" s="373"/>
      <c r="AX61" s="374"/>
      <c r="AY61" s="373"/>
      <c r="AZ61" s="373">
        <f>SUM(AZ62:AZ65)</f>
        <v>0</v>
      </c>
      <c r="BA61" s="373"/>
      <c r="BB61" s="373"/>
      <c r="BC61" s="374"/>
      <c r="BD61" s="373"/>
      <c r="BE61" s="373">
        <f>SUM(BE62:BE65)</f>
        <v>0</v>
      </c>
      <c r="BF61" s="373"/>
      <c r="BG61" s="373"/>
      <c r="BH61" s="374"/>
      <c r="BI61" s="373"/>
      <c r="BJ61" s="373">
        <f>SUM(BJ62:BJ65)</f>
        <v>0</v>
      </c>
      <c r="BK61" s="373"/>
      <c r="BL61" s="373"/>
      <c r="BM61" s="374"/>
      <c r="BN61" s="373"/>
      <c r="BO61" s="373">
        <f>SUM(BO62:BO65)</f>
        <v>0</v>
      </c>
      <c r="BP61" s="373"/>
      <c r="BQ61" s="373"/>
      <c r="BR61" s="374"/>
      <c r="BS61" s="373"/>
      <c r="BT61" s="373">
        <f>SUM(BT62:BT65)</f>
        <v>0</v>
      </c>
      <c r="BU61" s="373"/>
      <c r="BV61" s="373"/>
      <c r="BW61" s="9"/>
      <c r="BZ61" s="10"/>
      <c r="CA61" s="10"/>
    </row>
    <row r="62" spans="4:79" ht="12.75" hidden="1" customHeight="1" x14ac:dyDescent="0.2">
      <c r="D62" s="9" t="s">
        <v>343</v>
      </c>
      <c r="E62" s="374"/>
      <c r="F62" s="309"/>
      <c r="G62" s="371">
        <v>0</v>
      </c>
      <c r="H62" s="372"/>
      <c r="I62" s="373"/>
      <c r="J62" s="374"/>
      <c r="K62" s="375"/>
      <c r="L62" s="371">
        <v>0</v>
      </c>
      <c r="M62" s="372"/>
      <c r="N62" s="373"/>
      <c r="O62" s="374"/>
      <c r="P62" s="375"/>
      <c r="Q62" s="371">
        <v>0</v>
      </c>
      <c r="R62" s="372"/>
      <c r="S62" s="373"/>
      <c r="T62" s="374"/>
      <c r="U62" s="375"/>
      <c r="V62" s="371">
        <v>0</v>
      </c>
      <c r="W62" s="372"/>
      <c r="X62" s="373"/>
      <c r="Y62" s="374"/>
      <c r="Z62" s="375"/>
      <c r="AA62" s="371">
        <v>0</v>
      </c>
      <c r="AB62" s="372"/>
      <c r="AC62" s="373"/>
      <c r="AD62" s="374"/>
      <c r="AE62" s="375"/>
      <c r="AF62" s="371">
        <v>0</v>
      </c>
      <c r="AG62" s="372"/>
      <c r="AH62" s="373"/>
      <c r="AI62" s="374"/>
      <c r="AJ62" s="375"/>
      <c r="AK62" s="371">
        <v>0</v>
      </c>
      <c r="AL62" s="372"/>
      <c r="AM62" s="373"/>
      <c r="AN62" s="374"/>
      <c r="AO62" s="375"/>
      <c r="AP62" s="371">
        <v>0</v>
      </c>
      <c r="AQ62" s="372"/>
      <c r="AR62" s="373"/>
      <c r="AS62" s="374"/>
      <c r="AT62" s="375"/>
      <c r="AU62" s="371">
        <v>0</v>
      </c>
      <c r="AV62" s="372"/>
      <c r="AW62" s="373"/>
      <c r="AX62" s="374"/>
      <c r="AY62" s="375"/>
      <c r="AZ62" s="371">
        <v>0</v>
      </c>
      <c r="BA62" s="372"/>
      <c r="BB62" s="373"/>
      <c r="BC62" s="374"/>
      <c r="BD62" s="375"/>
      <c r="BE62" s="371">
        <v>0</v>
      </c>
      <c r="BF62" s="372"/>
      <c r="BG62" s="373"/>
      <c r="BH62" s="374"/>
      <c r="BI62" s="375"/>
      <c r="BJ62" s="371">
        <v>0</v>
      </c>
      <c r="BK62" s="372"/>
      <c r="BL62" s="373"/>
      <c r="BM62" s="374"/>
      <c r="BN62" s="375"/>
      <c r="BO62" s="371">
        <v>0</v>
      </c>
      <c r="BP62" s="372"/>
      <c r="BQ62" s="373"/>
      <c r="BR62" s="374"/>
      <c r="BS62" s="375"/>
      <c r="BT62" s="371">
        <f>SUM(L62:BO62)</f>
        <v>0</v>
      </c>
      <c r="BU62" s="372"/>
      <c r="BV62" s="373"/>
      <c r="BW62" s="9"/>
      <c r="BZ62" s="10"/>
      <c r="CA62" s="10"/>
    </row>
    <row r="63" spans="4:79" ht="12.75" hidden="1" customHeight="1" x14ac:dyDescent="0.2">
      <c r="D63" s="9" t="s">
        <v>345</v>
      </c>
      <c r="E63" s="374"/>
      <c r="F63" s="156"/>
      <c r="G63" s="373">
        <v>0</v>
      </c>
      <c r="H63" s="377"/>
      <c r="I63" s="373"/>
      <c r="J63" s="374"/>
      <c r="K63" s="374"/>
      <c r="L63" s="373">
        <v>0</v>
      </c>
      <c r="M63" s="377"/>
      <c r="N63" s="373"/>
      <c r="O63" s="374"/>
      <c r="P63" s="374"/>
      <c r="Q63" s="373">
        <v>0</v>
      </c>
      <c r="R63" s="377"/>
      <c r="S63" s="373"/>
      <c r="T63" s="374"/>
      <c r="U63" s="374"/>
      <c r="V63" s="373">
        <v>0</v>
      </c>
      <c r="W63" s="377"/>
      <c r="X63" s="373"/>
      <c r="Y63" s="374"/>
      <c r="Z63" s="374"/>
      <c r="AA63" s="373">
        <v>0</v>
      </c>
      <c r="AB63" s="377"/>
      <c r="AC63" s="373"/>
      <c r="AD63" s="374"/>
      <c r="AE63" s="374"/>
      <c r="AF63" s="373">
        <v>0</v>
      </c>
      <c r="AG63" s="377"/>
      <c r="AH63" s="373"/>
      <c r="AI63" s="374"/>
      <c r="AJ63" s="374"/>
      <c r="AK63" s="373">
        <v>0</v>
      </c>
      <c r="AL63" s="377"/>
      <c r="AM63" s="373"/>
      <c r="AN63" s="374"/>
      <c r="AO63" s="374"/>
      <c r="AP63" s="373">
        <v>0</v>
      </c>
      <c r="AQ63" s="377"/>
      <c r="AR63" s="373"/>
      <c r="AS63" s="374"/>
      <c r="AT63" s="374"/>
      <c r="AU63" s="373">
        <v>0</v>
      </c>
      <c r="AV63" s="377"/>
      <c r="AW63" s="373"/>
      <c r="AX63" s="374"/>
      <c r="AY63" s="374"/>
      <c r="AZ63" s="373">
        <v>0</v>
      </c>
      <c r="BA63" s="377"/>
      <c r="BB63" s="373"/>
      <c r="BC63" s="374"/>
      <c r="BD63" s="374"/>
      <c r="BE63" s="373">
        <v>0</v>
      </c>
      <c r="BF63" s="377"/>
      <c r="BG63" s="373"/>
      <c r="BH63" s="374"/>
      <c r="BI63" s="374"/>
      <c r="BJ63" s="373">
        <v>0</v>
      </c>
      <c r="BK63" s="377"/>
      <c r="BL63" s="373"/>
      <c r="BM63" s="374"/>
      <c r="BN63" s="374"/>
      <c r="BO63" s="373">
        <v>0</v>
      </c>
      <c r="BP63" s="377"/>
      <c r="BQ63" s="373"/>
      <c r="BR63" s="374"/>
      <c r="BS63" s="374"/>
      <c r="BT63" s="373">
        <f>SUM(L63:BO63)</f>
        <v>0</v>
      </c>
      <c r="BU63" s="377"/>
      <c r="BV63" s="373"/>
      <c r="BW63" s="9"/>
      <c r="BZ63" s="10"/>
      <c r="CA63" s="10"/>
    </row>
    <row r="64" spans="4:79" ht="12.75" hidden="1" customHeight="1" x14ac:dyDescent="0.2">
      <c r="D64" s="9" t="s">
        <v>346</v>
      </c>
      <c r="E64" s="374"/>
      <c r="F64" s="156"/>
      <c r="G64" s="373">
        <v>0</v>
      </c>
      <c r="H64" s="377"/>
      <c r="I64" s="373"/>
      <c r="J64" s="374"/>
      <c r="K64" s="374"/>
      <c r="L64" s="373">
        <v>0</v>
      </c>
      <c r="M64" s="377"/>
      <c r="N64" s="373"/>
      <c r="O64" s="374"/>
      <c r="P64" s="374"/>
      <c r="Q64" s="373">
        <v>0</v>
      </c>
      <c r="R64" s="377"/>
      <c r="S64" s="373"/>
      <c r="T64" s="374"/>
      <c r="U64" s="374"/>
      <c r="V64" s="373">
        <v>0</v>
      </c>
      <c r="W64" s="377"/>
      <c r="X64" s="373"/>
      <c r="Y64" s="374"/>
      <c r="Z64" s="374"/>
      <c r="AA64" s="373">
        <v>0</v>
      </c>
      <c r="AB64" s="377"/>
      <c r="AC64" s="373"/>
      <c r="AD64" s="374"/>
      <c r="AE64" s="374"/>
      <c r="AF64" s="373">
        <v>0</v>
      </c>
      <c r="AG64" s="377"/>
      <c r="AH64" s="373"/>
      <c r="AI64" s="374"/>
      <c r="AJ64" s="374"/>
      <c r="AK64" s="373">
        <v>0</v>
      </c>
      <c r="AL64" s="377"/>
      <c r="AM64" s="373"/>
      <c r="AN64" s="374"/>
      <c r="AO64" s="374"/>
      <c r="AP64" s="373">
        <v>0</v>
      </c>
      <c r="AQ64" s="377"/>
      <c r="AR64" s="373"/>
      <c r="AS64" s="374"/>
      <c r="AT64" s="374"/>
      <c r="AU64" s="373">
        <v>0</v>
      </c>
      <c r="AV64" s="377"/>
      <c r="AW64" s="373"/>
      <c r="AX64" s="374"/>
      <c r="AY64" s="374"/>
      <c r="AZ64" s="373">
        <v>0</v>
      </c>
      <c r="BA64" s="377"/>
      <c r="BB64" s="373"/>
      <c r="BC64" s="374"/>
      <c r="BD64" s="374"/>
      <c r="BE64" s="373">
        <v>0</v>
      </c>
      <c r="BF64" s="377"/>
      <c r="BG64" s="373"/>
      <c r="BH64" s="374"/>
      <c r="BI64" s="374"/>
      <c r="BJ64" s="373">
        <v>0</v>
      </c>
      <c r="BK64" s="377"/>
      <c r="BL64" s="373"/>
      <c r="BM64" s="374"/>
      <c r="BN64" s="374"/>
      <c r="BO64" s="373">
        <v>0</v>
      </c>
      <c r="BP64" s="377"/>
      <c r="BQ64" s="373"/>
      <c r="BR64" s="374"/>
      <c r="BS64" s="374"/>
      <c r="BT64" s="373">
        <f>SUM(L64:BO64)</f>
        <v>0</v>
      </c>
      <c r="BU64" s="377"/>
      <c r="BV64" s="373"/>
      <c r="BW64" s="9"/>
      <c r="BZ64" s="10"/>
      <c r="CA64" s="10"/>
    </row>
    <row r="65" spans="4:79" ht="12.75" hidden="1" customHeight="1" x14ac:dyDescent="0.2">
      <c r="D65" s="9" t="s">
        <v>347</v>
      </c>
      <c r="E65" s="374"/>
      <c r="F65" s="320"/>
      <c r="G65" s="385">
        <v>0</v>
      </c>
      <c r="H65" s="386"/>
      <c r="I65" s="373"/>
      <c r="J65" s="374"/>
      <c r="K65" s="387"/>
      <c r="L65" s="385">
        <v>0</v>
      </c>
      <c r="M65" s="386"/>
      <c r="N65" s="373"/>
      <c r="O65" s="374"/>
      <c r="P65" s="387"/>
      <c r="Q65" s="385">
        <v>0</v>
      </c>
      <c r="R65" s="386"/>
      <c r="S65" s="373"/>
      <c r="T65" s="374"/>
      <c r="U65" s="387"/>
      <c r="V65" s="385">
        <v>0</v>
      </c>
      <c r="W65" s="386"/>
      <c r="X65" s="373"/>
      <c r="Y65" s="374"/>
      <c r="Z65" s="387"/>
      <c r="AA65" s="385">
        <v>0</v>
      </c>
      <c r="AB65" s="386"/>
      <c r="AC65" s="373"/>
      <c r="AD65" s="374"/>
      <c r="AE65" s="387"/>
      <c r="AF65" s="385">
        <v>0</v>
      </c>
      <c r="AG65" s="386"/>
      <c r="AH65" s="373"/>
      <c r="AI65" s="374"/>
      <c r="AJ65" s="387"/>
      <c r="AK65" s="385">
        <v>0</v>
      </c>
      <c r="AL65" s="386"/>
      <c r="AM65" s="373"/>
      <c r="AN65" s="374"/>
      <c r="AO65" s="387"/>
      <c r="AP65" s="385">
        <v>0</v>
      </c>
      <c r="AQ65" s="386"/>
      <c r="AR65" s="373"/>
      <c r="AS65" s="374"/>
      <c r="AT65" s="387"/>
      <c r="AU65" s="385">
        <v>0</v>
      </c>
      <c r="AV65" s="386"/>
      <c r="AW65" s="373"/>
      <c r="AX65" s="374"/>
      <c r="AY65" s="387"/>
      <c r="AZ65" s="385">
        <v>0</v>
      </c>
      <c r="BA65" s="386"/>
      <c r="BB65" s="373"/>
      <c r="BC65" s="374"/>
      <c r="BD65" s="387"/>
      <c r="BE65" s="385">
        <v>0</v>
      </c>
      <c r="BF65" s="386"/>
      <c r="BG65" s="373"/>
      <c r="BH65" s="374"/>
      <c r="BI65" s="387"/>
      <c r="BJ65" s="385">
        <v>0</v>
      </c>
      <c r="BK65" s="386"/>
      <c r="BL65" s="373"/>
      <c r="BM65" s="374"/>
      <c r="BN65" s="387"/>
      <c r="BO65" s="385">
        <v>0</v>
      </c>
      <c r="BP65" s="386"/>
      <c r="BQ65" s="373"/>
      <c r="BR65" s="374"/>
      <c r="BS65" s="387"/>
      <c r="BT65" s="385">
        <f>SUM(L65:BO65)</f>
        <v>0</v>
      </c>
      <c r="BU65" s="386"/>
      <c r="BV65" s="373"/>
      <c r="BW65" s="9"/>
      <c r="BZ65" s="10"/>
      <c r="CA65" s="10"/>
    </row>
    <row r="66" spans="4:79" ht="12.75" hidden="1" customHeight="1" x14ac:dyDescent="0.2">
      <c r="D66" s="9"/>
      <c r="E66" s="374"/>
      <c r="G66" s="373"/>
      <c r="H66" s="373"/>
      <c r="I66" s="373"/>
      <c r="J66" s="374"/>
      <c r="K66" s="373"/>
      <c r="L66" s="373"/>
      <c r="M66" s="373"/>
      <c r="N66" s="373"/>
      <c r="O66" s="374"/>
      <c r="P66" s="373"/>
      <c r="Q66" s="373"/>
      <c r="R66" s="373"/>
      <c r="S66" s="373"/>
      <c r="T66" s="374"/>
      <c r="U66" s="373"/>
      <c r="V66" s="373"/>
      <c r="W66" s="373"/>
      <c r="X66" s="373"/>
      <c r="Y66" s="374"/>
      <c r="Z66" s="373"/>
      <c r="AA66" s="373"/>
      <c r="AB66" s="373"/>
      <c r="AC66" s="373"/>
      <c r="AD66" s="374"/>
      <c r="AE66" s="373"/>
      <c r="AF66" s="373"/>
      <c r="AG66" s="373"/>
      <c r="AH66" s="373"/>
      <c r="AI66" s="374"/>
      <c r="AJ66" s="373"/>
      <c r="AK66" s="373"/>
      <c r="AL66" s="373"/>
      <c r="AM66" s="373"/>
      <c r="AN66" s="374"/>
      <c r="AO66" s="373"/>
      <c r="AP66" s="373"/>
      <c r="AQ66" s="373"/>
      <c r="AR66" s="373"/>
      <c r="AS66" s="374"/>
      <c r="AT66" s="373"/>
      <c r="AU66" s="373"/>
      <c r="AV66" s="373"/>
      <c r="AW66" s="373"/>
      <c r="AX66" s="374"/>
      <c r="AY66" s="373"/>
      <c r="AZ66" s="373"/>
      <c r="BA66" s="373"/>
      <c r="BB66" s="373"/>
      <c r="BC66" s="374"/>
      <c r="BD66" s="373"/>
      <c r="BE66" s="373"/>
      <c r="BF66" s="373"/>
      <c r="BG66" s="373"/>
      <c r="BH66" s="374"/>
      <c r="BI66" s="373"/>
      <c r="BJ66" s="373"/>
      <c r="BK66" s="373"/>
      <c r="BL66" s="373"/>
      <c r="BM66" s="374"/>
      <c r="BN66" s="373"/>
      <c r="BO66" s="373"/>
      <c r="BP66" s="373"/>
      <c r="BQ66" s="373"/>
      <c r="BR66" s="374"/>
      <c r="BS66" s="373"/>
      <c r="BT66" s="373"/>
      <c r="BU66" s="373"/>
      <c r="BV66" s="373"/>
      <c r="BW66" s="9"/>
      <c r="BZ66" s="10"/>
      <c r="CA66" s="10"/>
    </row>
    <row r="67" spans="4:79" ht="12.75" customHeight="1" x14ac:dyDescent="0.2">
      <c r="D67" s="9" t="s">
        <v>356</v>
      </c>
      <c r="E67" s="374"/>
      <c r="G67" s="373">
        <f>SUM(G68:G71)</f>
        <v>0</v>
      </c>
      <c r="H67" s="373"/>
      <c r="I67" s="373"/>
      <c r="J67" s="374"/>
      <c r="K67" s="373"/>
      <c r="L67" s="373">
        <f>SUM(L68:L71)</f>
        <v>0</v>
      </c>
      <c r="M67" s="373"/>
      <c r="N67" s="373"/>
      <c r="O67" s="374"/>
      <c r="P67" s="373"/>
      <c r="Q67" s="373">
        <f>SUM(Q68:Q71)</f>
        <v>0</v>
      </c>
      <c r="R67" s="373"/>
      <c r="S67" s="373"/>
      <c r="T67" s="374"/>
      <c r="U67" s="373"/>
      <c r="V67" s="373">
        <f>SUM(V68:V71)</f>
        <v>297021</v>
      </c>
      <c r="W67" s="373"/>
      <c r="X67" s="373"/>
      <c r="Y67" s="374"/>
      <c r="Z67" s="373"/>
      <c r="AA67" s="373">
        <f>SUM(AA68:AA71)</f>
        <v>854761</v>
      </c>
      <c r="AB67" s="373"/>
      <c r="AC67" s="373"/>
      <c r="AD67" s="374"/>
      <c r="AE67" s="373"/>
      <c r="AF67" s="373">
        <f>SUM(AF68:AF71)</f>
        <v>1016515</v>
      </c>
      <c r="AG67" s="373"/>
      <c r="AH67" s="373"/>
      <c r="AI67" s="374"/>
      <c r="AJ67" s="373"/>
      <c r="AK67" s="373">
        <f>SUM(AK68:AK71)</f>
        <v>816649</v>
      </c>
      <c r="AL67" s="373"/>
      <c r="AM67" s="373"/>
      <c r="AN67" s="374"/>
      <c r="AO67" s="373"/>
      <c r="AP67" s="373">
        <f>SUM(AP68:AP71)</f>
        <v>1476452</v>
      </c>
      <c r="AQ67" s="373"/>
      <c r="AR67" s="373"/>
      <c r="AS67" s="374"/>
      <c r="AT67" s="373"/>
      <c r="AU67" s="373">
        <f>SUM(AU68:AU71)</f>
        <v>1092190</v>
      </c>
      <c r="AV67" s="373"/>
      <c r="AW67" s="373"/>
      <c r="AX67" s="374"/>
      <c r="AY67" s="373"/>
      <c r="AZ67" s="373">
        <f>SUM(AZ68:AZ71)</f>
        <v>727090</v>
      </c>
      <c r="BA67" s="373"/>
      <c r="BB67" s="373"/>
      <c r="BC67" s="374"/>
      <c r="BD67" s="373"/>
      <c r="BE67" s="373">
        <f>SUM(BE68:BE71)</f>
        <v>1067242</v>
      </c>
      <c r="BF67" s="373"/>
      <c r="BG67" s="373"/>
      <c r="BH67" s="374"/>
      <c r="BI67" s="373"/>
      <c r="BJ67" s="373">
        <f>SUM(BJ68:BJ71)</f>
        <v>0</v>
      </c>
      <c r="BK67" s="373"/>
      <c r="BL67" s="373"/>
      <c r="BM67" s="374"/>
      <c r="BN67" s="373"/>
      <c r="BO67" s="373">
        <f>SUM(BO68:BO71)</f>
        <v>0</v>
      </c>
      <c r="BP67" s="373"/>
      <c r="BQ67" s="373"/>
      <c r="BR67" s="374"/>
      <c r="BS67" s="373"/>
      <c r="BT67" s="373">
        <f>SUM(BT68:BT71)</f>
        <v>7347920</v>
      </c>
      <c r="BU67" s="373"/>
      <c r="BV67" s="373"/>
      <c r="BW67" s="9"/>
      <c r="BZ67" s="10"/>
      <c r="CA67" s="10"/>
    </row>
    <row r="68" spans="4:79" ht="12.75" customHeight="1" x14ac:dyDescent="0.2">
      <c r="D68" s="9" t="s">
        <v>343</v>
      </c>
      <c r="E68" s="374"/>
      <c r="F68" s="309"/>
      <c r="G68" s="371">
        <v>0</v>
      </c>
      <c r="H68" s="372"/>
      <c r="I68" s="373"/>
      <c r="J68" s="374"/>
      <c r="K68" s="375"/>
      <c r="L68" s="371">
        <v>0</v>
      </c>
      <c r="M68" s="372"/>
      <c r="N68" s="373"/>
      <c r="O68" s="374"/>
      <c r="P68" s="375"/>
      <c r="Q68" s="371">
        <v>0</v>
      </c>
      <c r="R68" s="372"/>
      <c r="S68" s="373"/>
      <c r="T68" s="374"/>
      <c r="U68" s="375"/>
      <c r="V68" s="371">
        <f>250000-49430</f>
        <v>200570</v>
      </c>
      <c r="W68" s="372"/>
      <c r="X68" s="373"/>
      <c r="Y68" s="374"/>
      <c r="Z68" s="375"/>
      <c r="AA68" s="371">
        <f>720000-156260</f>
        <v>563740</v>
      </c>
      <c r="AB68" s="372"/>
      <c r="AC68" s="373"/>
      <c r="AD68" s="374"/>
      <c r="AE68" s="375"/>
      <c r="AF68" s="371">
        <f>860000-183365</f>
        <v>676635</v>
      </c>
      <c r="AG68" s="372"/>
      <c r="AH68" s="373"/>
      <c r="AI68" s="374"/>
      <c r="AJ68" s="375"/>
      <c r="AK68" s="371">
        <f>690000-131934</f>
        <v>558066</v>
      </c>
      <c r="AL68" s="372"/>
      <c r="AM68" s="373"/>
      <c r="AN68" s="374"/>
      <c r="AO68" s="375"/>
      <c r="AP68" s="371">
        <f>1240000-243270</f>
        <v>996730</v>
      </c>
      <c r="AQ68" s="372"/>
      <c r="AR68" s="373"/>
      <c r="AS68" s="374"/>
      <c r="AT68" s="375"/>
      <c r="AU68" s="371">
        <f>910000-176856</f>
        <v>733144</v>
      </c>
      <c r="AV68" s="372"/>
      <c r="AW68" s="373"/>
      <c r="AX68" s="374"/>
      <c r="AY68" s="375"/>
      <c r="AZ68" s="371">
        <f>605000-112019</f>
        <v>492981</v>
      </c>
      <c r="BA68" s="372"/>
      <c r="BB68" s="373"/>
      <c r="BC68" s="374"/>
      <c r="BD68" s="375"/>
      <c r="BE68" s="371">
        <f>885000-145924</f>
        <v>739076</v>
      </c>
      <c r="BF68" s="372"/>
      <c r="BG68" s="373"/>
      <c r="BH68" s="374"/>
      <c r="BI68" s="375"/>
      <c r="BJ68" s="371">
        <v>0</v>
      </c>
      <c r="BK68" s="372"/>
      <c r="BL68" s="373"/>
      <c r="BM68" s="374"/>
      <c r="BN68" s="375"/>
      <c r="BO68" s="371">
        <v>0</v>
      </c>
      <c r="BP68" s="372"/>
      <c r="BQ68" s="373"/>
      <c r="BR68" s="374"/>
      <c r="BS68" s="375"/>
      <c r="BT68" s="371">
        <f>SUM(L68:BO68)</f>
        <v>4960942</v>
      </c>
      <c r="BU68" s="372"/>
      <c r="BV68" s="373"/>
      <c r="BW68" s="9"/>
      <c r="BZ68" s="10"/>
      <c r="CA68" s="10"/>
    </row>
    <row r="69" spans="4:79" ht="12.75" customHeight="1" x14ac:dyDescent="0.2">
      <c r="D69" s="9" t="s">
        <v>345</v>
      </c>
      <c r="E69" s="374"/>
      <c r="F69" s="156"/>
      <c r="G69" s="373">
        <v>0</v>
      </c>
      <c r="H69" s="377"/>
      <c r="I69" s="373"/>
      <c r="J69" s="374"/>
      <c r="K69" s="374"/>
      <c r="L69" s="373">
        <v>0</v>
      </c>
      <c r="M69" s="377"/>
      <c r="N69" s="373"/>
      <c r="O69" s="374"/>
      <c r="P69" s="374"/>
      <c r="Q69" s="373">
        <v>0</v>
      </c>
      <c r="R69" s="377"/>
      <c r="S69" s="373"/>
      <c r="T69" s="374"/>
      <c r="U69" s="374"/>
      <c r="V69" s="373">
        <v>49430</v>
      </c>
      <c r="W69" s="377"/>
      <c r="X69" s="373"/>
      <c r="Y69" s="374"/>
      <c r="Z69" s="374"/>
      <c r="AA69" s="373">
        <v>156260</v>
      </c>
      <c r="AB69" s="377"/>
      <c r="AC69" s="373"/>
      <c r="AD69" s="374"/>
      <c r="AE69" s="374"/>
      <c r="AF69" s="373">
        <v>183365</v>
      </c>
      <c r="AG69" s="377"/>
      <c r="AH69" s="373"/>
      <c r="AI69" s="374"/>
      <c r="AJ69" s="374"/>
      <c r="AK69" s="373">
        <v>131934</v>
      </c>
      <c r="AL69" s="377"/>
      <c r="AM69" s="373"/>
      <c r="AN69" s="374"/>
      <c r="AO69" s="374"/>
      <c r="AP69" s="373">
        <v>243270</v>
      </c>
      <c r="AQ69" s="377"/>
      <c r="AR69" s="373"/>
      <c r="AS69" s="374"/>
      <c r="AT69" s="374"/>
      <c r="AU69" s="373">
        <v>176856</v>
      </c>
      <c r="AV69" s="377"/>
      <c r="AW69" s="373"/>
      <c r="AX69" s="374"/>
      <c r="AY69" s="374"/>
      <c r="AZ69" s="373">
        <v>112019</v>
      </c>
      <c r="BA69" s="377"/>
      <c r="BB69" s="373"/>
      <c r="BC69" s="374"/>
      <c r="BD69" s="374"/>
      <c r="BE69" s="373">
        <v>145924</v>
      </c>
      <c r="BF69" s="377"/>
      <c r="BG69" s="373"/>
      <c r="BH69" s="374"/>
      <c r="BI69" s="374"/>
      <c r="BJ69" s="373">
        <v>0</v>
      </c>
      <c r="BK69" s="377"/>
      <c r="BL69" s="373"/>
      <c r="BM69" s="374"/>
      <c r="BN69" s="374"/>
      <c r="BO69" s="373">
        <v>0</v>
      </c>
      <c r="BP69" s="377"/>
      <c r="BQ69" s="373"/>
      <c r="BR69" s="374"/>
      <c r="BS69" s="374"/>
      <c r="BT69" s="373">
        <f>SUM(L69:BO69)</f>
        <v>1199058</v>
      </c>
      <c r="BU69" s="377"/>
      <c r="BV69" s="373"/>
      <c r="BW69" s="9"/>
      <c r="BZ69" s="10"/>
      <c r="CA69" s="10"/>
    </row>
    <row r="70" spans="4:79" ht="12.75" customHeight="1" x14ac:dyDescent="0.2">
      <c r="D70" s="9" t="s">
        <v>346</v>
      </c>
      <c r="E70" s="374"/>
      <c r="F70" s="156"/>
      <c r="G70" s="373">
        <v>0</v>
      </c>
      <c r="H70" s="377"/>
      <c r="I70" s="373"/>
      <c r="J70" s="374"/>
      <c r="K70" s="374"/>
      <c r="L70" s="373">
        <v>0</v>
      </c>
      <c r="M70" s="377"/>
      <c r="N70" s="373"/>
      <c r="O70" s="374"/>
      <c r="P70" s="374"/>
      <c r="Q70" s="373">
        <v>0</v>
      </c>
      <c r="R70" s="377"/>
      <c r="S70" s="373"/>
      <c r="T70" s="374"/>
      <c r="U70" s="374"/>
      <c r="V70" s="373">
        <v>0</v>
      </c>
      <c r="W70" s="377"/>
      <c r="X70" s="373"/>
      <c r="Y70" s="374"/>
      <c r="Z70" s="374"/>
      <c r="AA70" s="373">
        <v>0</v>
      </c>
      <c r="AB70" s="377"/>
      <c r="AC70" s="373"/>
      <c r="AD70" s="374"/>
      <c r="AE70" s="374"/>
      <c r="AF70" s="373">
        <v>0</v>
      </c>
      <c r="AG70" s="377"/>
      <c r="AH70" s="373"/>
      <c r="AI70" s="374"/>
      <c r="AJ70" s="374"/>
      <c r="AK70" s="373">
        <v>0</v>
      </c>
      <c r="AL70" s="377"/>
      <c r="AM70" s="373"/>
      <c r="AN70" s="374"/>
      <c r="AO70" s="374"/>
      <c r="AP70" s="373">
        <v>0</v>
      </c>
      <c r="AQ70" s="377"/>
      <c r="AR70" s="373"/>
      <c r="AS70" s="374"/>
      <c r="AT70" s="374"/>
      <c r="AU70" s="373">
        <v>0</v>
      </c>
      <c r="AV70" s="377"/>
      <c r="AW70" s="373"/>
      <c r="AX70" s="374"/>
      <c r="AY70" s="374"/>
      <c r="AZ70" s="373">
        <v>0</v>
      </c>
      <c r="BA70" s="377"/>
      <c r="BB70" s="373"/>
      <c r="BC70" s="374"/>
      <c r="BD70" s="374"/>
      <c r="BE70" s="373">
        <v>0</v>
      </c>
      <c r="BF70" s="377"/>
      <c r="BG70" s="373"/>
      <c r="BH70" s="374"/>
      <c r="BI70" s="374"/>
      <c r="BJ70" s="373">
        <v>0</v>
      </c>
      <c r="BK70" s="377"/>
      <c r="BL70" s="373"/>
      <c r="BM70" s="374"/>
      <c r="BN70" s="374"/>
      <c r="BO70" s="373">
        <v>0</v>
      </c>
      <c r="BP70" s="377"/>
      <c r="BQ70" s="373"/>
      <c r="BR70" s="374"/>
      <c r="BS70" s="374"/>
      <c r="BT70" s="373">
        <f>SUM(L70:BO70)</f>
        <v>0</v>
      </c>
      <c r="BU70" s="377"/>
      <c r="BV70" s="373"/>
      <c r="BW70" s="9"/>
      <c r="BZ70" s="10"/>
      <c r="CA70" s="10"/>
    </row>
    <row r="71" spans="4:79" ht="12.75" customHeight="1" x14ac:dyDescent="0.2">
      <c r="D71" s="9" t="s">
        <v>347</v>
      </c>
      <c r="E71" s="374"/>
      <c r="F71" s="320"/>
      <c r="G71" s="385">
        <v>0</v>
      </c>
      <c r="H71" s="386"/>
      <c r="I71" s="373"/>
      <c r="J71" s="374"/>
      <c r="K71" s="387"/>
      <c r="L71" s="385">
        <v>0</v>
      </c>
      <c r="M71" s="386"/>
      <c r="N71" s="373"/>
      <c r="O71" s="374"/>
      <c r="P71" s="387"/>
      <c r="Q71" s="385">
        <v>0</v>
      </c>
      <c r="R71" s="386"/>
      <c r="S71" s="373"/>
      <c r="T71" s="374"/>
      <c r="U71" s="387"/>
      <c r="V71" s="385">
        <v>47021</v>
      </c>
      <c r="W71" s="386"/>
      <c r="X71" s="373"/>
      <c r="Y71" s="374"/>
      <c r="Z71" s="387"/>
      <c r="AA71" s="385">
        <v>134761</v>
      </c>
      <c r="AB71" s="386"/>
      <c r="AC71" s="373"/>
      <c r="AD71" s="374"/>
      <c r="AE71" s="387"/>
      <c r="AF71" s="385">
        <v>156515</v>
      </c>
      <c r="AG71" s="386"/>
      <c r="AH71" s="373"/>
      <c r="AI71" s="374"/>
      <c r="AJ71" s="387"/>
      <c r="AK71" s="385">
        <v>126649</v>
      </c>
      <c r="AL71" s="386"/>
      <c r="AM71" s="373"/>
      <c r="AN71" s="374"/>
      <c r="AO71" s="387"/>
      <c r="AP71" s="385">
        <v>236452</v>
      </c>
      <c r="AQ71" s="386"/>
      <c r="AR71" s="373"/>
      <c r="AS71" s="374"/>
      <c r="AT71" s="387"/>
      <c r="AU71" s="385">
        <v>182190</v>
      </c>
      <c r="AV71" s="386"/>
      <c r="AW71" s="373"/>
      <c r="AX71" s="374"/>
      <c r="AY71" s="387"/>
      <c r="AZ71" s="385">
        <v>122090</v>
      </c>
      <c r="BA71" s="386"/>
      <c r="BB71" s="373"/>
      <c r="BC71" s="374"/>
      <c r="BD71" s="387"/>
      <c r="BE71" s="385">
        <v>182242</v>
      </c>
      <c r="BF71" s="386"/>
      <c r="BG71" s="373"/>
      <c r="BH71" s="374"/>
      <c r="BI71" s="387"/>
      <c r="BJ71" s="385">
        <v>0</v>
      </c>
      <c r="BK71" s="386"/>
      <c r="BL71" s="373"/>
      <c r="BM71" s="374"/>
      <c r="BN71" s="387"/>
      <c r="BO71" s="385">
        <v>0</v>
      </c>
      <c r="BP71" s="386"/>
      <c r="BQ71" s="373"/>
      <c r="BR71" s="374"/>
      <c r="BS71" s="387"/>
      <c r="BT71" s="385">
        <f>SUM(L71:BO71)</f>
        <v>1187920</v>
      </c>
      <c r="BU71" s="386"/>
      <c r="BV71" s="373"/>
      <c r="BW71" s="9"/>
      <c r="BZ71" s="10"/>
      <c r="CA71" s="10"/>
    </row>
    <row r="72" spans="4:79" ht="12.75" hidden="1" customHeight="1" x14ac:dyDescent="0.2">
      <c r="D72" s="9"/>
      <c r="E72" s="374"/>
      <c r="G72" s="373"/>
      <c r="H72" s="373"/>
      <c r="I72" s="373"/>
      <c r="J72" s="374"/>
      <c r="K72" s="373"/>
      <c r="L72" s="373"/>
      <c r="M72" s="373"/>
      <c r="N72" s="373"/>
      <c r="O72" s="374"/>
      <c r="P72" s="373"/>
      <c r="Q72" s="373"/>
      <c r="R72" s="373"/>
      <c r="S72" s="373"/>
      <c r="T72" s="374"/>
      <c r="U72" s="373"/>
      <c r="V72" s="373"/>
      <c r="W72" s="373"/>
      <c r="X72" s="373"/>
      <c r="Y72" s="374"/>
      <c r="Z72" s="373"/>
      <c r="AA72" s="373"/>
      <c r="AB72" s="373"/>
      <c r="AC72" s="373"/>
      <c r="AD72" s="374"/>
      <c r="AE72" s="373"/>
      <c r="AF72" s="373"/>
      <c r="AG72" s="373"/>
      <c r="AH72" s="373"/>
      <c r="AI72" s="374"/>
      <c r="AJ72" s="373"/>
      <c r="AK72" s="373"/>
      <c r="AL72" s="373"/>
      <c r="AM72" s="373"/>
      <c r="AN72" s="374"/>
      <c r="AO72" s="373"/>
      <c r="AP72" s="373"/>
      <c r="AQ72" s="373"/>
      <c r="AR72" s="373"/>
      <c r="AS72" s="374"/>
      <c r="AT72" s="373"/>
      <c r="AU72" s="373"/>
      <c r="AV72" s="373"/>
      <c r="AW72" s="373"/>
      <c r="AX72" s="374"/>
      <c r="AY72" s="373"/>
      <c r="AZ72" s="373"/>
      <c r="BA72" s="373"/>
      <c r="BB72" s="373"/>
      <c r="BC72" s="374"/>
      <c r="BD72" s="373"/>
      <c r="BE72" s="373"/>
      <c r="BF72" s="373"/>
      <c r="BG72" s="373"/>
      <c r="BH72" s="374"/>
      <c r="BI72" s="373"/>
      <c r="BJ72" s="373"/>
      <c r="BK72" s="373"/>
      <c r="BL72" s="373"/>
      <c r="BM72" s="374"/>
      <c r="BN72" s="373"/>
      <c r="BO72" s="373"/>
      <c r="BP72" s="373"/>
      <c r="BQ72" s="373"/>
      <c r="BR72" s="374"/>
      <c r="BS72" s="373"/>
      <c r="BT72" s="373"/>
      <c r="BU72" s="373"/>
      <c r="BV72" s="373"/>
      <c r="BW72" s="9"/>
      <c r="BZ72" s="10"/>
      <c r="CA72" s="10"/>
    </row>
    <row r="73" spans="4:79" ht="12.75" hidden="1" customHeight="1" x14ac:dyDescent="0.2">
      <c r="D73" s="9" t="s">
        <v>357</v>
      </c>
      <c r="E73" s="374"/>
      <c r="G73" s="373">
        <f>SUM(G74:G76)</f>
        <v>0</v>
      </c>
      <c r="H73" s="373"/>
      <c r="I73" s="373"/>
      <c r="J73" s="374"/>
      <c r="K73" s="373"/>
      <c r="L73" s="373">
        <f>SUM(L74:L76)</f>
        <v>0</v>
      </c>
      <c r="M73" s="373"/>
      <c r="N73" s="373"/>
      <c r="O73" s="374"/>
      <c r="P73" s="373"/>
      <c r="Q73" s="373">
        <f>SUM(Q74:Q76)</f>
        <v>0</v>
      </c>
      <c r="R73" s="373"/>
      <c r="S73" s="373"/>
      <c r="T73" s="374"/>
      <c r="U73" s="373"/>
      <c r="V73" s="373">
        <f>SUM(V74:V76)</f>
        <v>0</v>
      </c>
      <c r="W73" s="373"/>
      <c r="X73" s="373"/>
      <c r="Y73" s="374"/>
      <c r="Z73" s="373"/>
      <c r="AA73" s="373">
        <f>SUM(AA74:AA76)</f>
        <v>0</v>
      </c>
      <c r="AB73" s="373"/>
      <c r="AC73" s="373"/>
      <c r="AD73" s="374"/>
      <c r="AE73" s="373"/>
      <c r="AF73" s="373">
        <f>SUM(AF74:AF76)</f>
        <v>0</v>
      </c>
      <c r="AG73" s="373"/>
      <c r="AH73" s="373"/>
      <c r="AI73" s="374"/>
      <c r="AJ73" s="373"/>
      <c r="AK73" s="373">
        <f>SUM(AK74:AK76)</f>
        <v>0</v>
      </c>
      <c r="AL73" s="373"/>
      <c r="AM73" s="373"/>
      <c r="AN73" s="374"/>
      <c r="AO73" s="373"/>
      <c r="AP73" s="373">
        <f>SUM(AP74:AP76)</f>
        <v>0</v>
      </c>
      <c r="AQ73" s="373"/>
      <c r="AR73" s="373"/>
      <c r="AS73" s="374"/>
      <c r="AT73" s="373"/>
      <c r="AU73" s="373">
        <f>SUM(AU74:AU76)</f>
        <v>0</v>
      </c>
      <c r="AV73" s="373"/>
      <c r="AW73" s="373"/>
      <c r="AX73" s="374"/>
      <c r="AY73" s="373"/>
      <c r="AZ73" s="373">
        <f>SUM(AZ74:AZ76)</f>
        <v>0</v>
      </c>
      <c r="BA73" s="373"/>
      <c r="BB73" s="373"/>
      <c r="BC73" s="374"/>
      <c r="BD73" s="373"/>
      <c r="BE73" s="373">
        <f>SUM(BE74:BE76)</f>
        <v>0</v>
      </c>
      <c r="BF73" s="373"/>
      <c r="BG73" s="373"/>
      <c r="BH73" s="374"/>
      <c r="BI73" s="373"/>
      <c r="BJ73" s="373">
        <f>SUM(BJ74:BJ76)</f>
        <v>0</v>
      </c>
      <c r="BK73" s="373"/>
      <c r="BL73" s="373"/>
      <c r="BM73" s="374"/>
      <c r="BN73" s="373"/>
      <c r="BO73" s="373">
        <f>SUM(BO74:BO76)</f>
        <v>0</v>
      </c>
      <c r="BP73" s="373"/>
      <c r="BQ73" s="373"/>
      <c r="BR73" s="374"/>
      <c r="BS73" s="373"/>
      <c r="BT73" s="373">
        <f>SUM(BT74:BT76)</f>
        <v>0</v>
      </c>
      <c r="BU73" s="373"/>
      <c r="BV73" s="373"/>
      <c r="BW73" s="9"/>
      <c r="BZ73" s="10"/>
      <c r="CA73" s="10"/>
    </row>
    <row r="74" spans="4:79" ht="12.75" hidden="1" customHeight="1" x14ac:dyDescent="0.2">
      <c r="D74" s="9" t="s">
        <v>343</v>
      </c>
      <c r="E74" s="374"/>
      <c r="F74" s="309"/>
      <c r="G74" s="371">
        <v>0</v>
      </c>
      <c r="H74" s="372"/>
      <c r="I74" s="373"/>
      <c r="J74" s="374"/>
      <c r="K74" s="375"/>
      <c r="L74" s="371">
        <v>0</v>
      </c>
      <c r="M74" s="372"/>
      <c r="N74" s="373"/>
      <c r="O74" s="374"/>
      <c r="P74" s="375"/>
      <c r="Q74" s="371">
        <v>0</v>
      </c>
      <c r="R74" s="372"/>
      <c r="S74" s="373"/>
      <c r="T74" s="374"/>
      <c r="U74" s="375"/>
      <c r="V74" s="371">
        <v>0</v>
      </c>
      <c r="W74" s="372"/>
      <c r="X74" s="373"/>
      <c r="Y74" s="374"/>
      <c r="Z74" s="375"/>
      <c r="AA74" s="371">
        <v>0</v>
      </c>
      <c r="AB74" s="372"/>
      <c r="AC74" s="373"/>
      <c r="AD74" s="374"/>
      <c r="AE74" s="375"/>
      <c r="AF74" s="371">
        <v>0</v>
      </c>
      <c r="AG74" s="372"/>
      <c r="AH74" s="373"/>
      <c r="AI74" s="374"/>
      <c r="AJ74" s="375"/>
      <c r="AK74" s="371">
        <v>0</v>
      </c>
      <c r="AL74" s="372"/>
      <c r="AM74" s="373"/>
      <c r="AN74" s="374"/>
      <c r="AO74" s="375"/>
      <c r="AP74" s="371">
        <v>0</v>
      </c>
      <c r="AQ74" s="372"/>
      <c r="AR74" s="373"/>
      <c r="AS74" s="374"/>
      <c r="AT74" s="375"/>
      <c r="AU74" s="371">
        <v>0</v>
      </c>
      <c r="AV74" s="372"/>
      <c r="AW74" s="373"/>
      <c r="AX74" s="374"/>
      <c r="AY74" s="375"/>
      <c r="AZ74" s="371">
        <v>0</v>
      </c>
      <c r="BA74" s="372"/>
      <c r="BB74" s="373"/>
      <c r="BC74" s="374"/>
      <c r="BD74" s="375"/>
      <c r="BE74" s="371">
        <v>0</v>
      </c>
      <c r="BF74" s="372"/>
      <c r="BG74" s="373"/>
      <c r="BH74" s="374"/>
      <c r="BI74" s="375"/>
      <c r="BJ74" s="371">
        <v>0</v>
      </c>
      <c r="BK74" s="372"/>
      <c r="BL74" s="373"/>
      <c r="BM74" s="374"/>
      <c r="BN74" s="375"/>
      <c r="BO74" s="371">
        <v>0</v>
      </c>
      <c r="BP74" s="372"/>
      <c r="BQ74" s="373"/>
      <c r="BR74" s="374"/>
      <c r="BS74" s="375"/>
      <c r="BT74" s="371">
        <f>SUM(L74:BO74)</f>
        <v>0</v>
      </c>
      <c r="BU74" s="372"/>
      <c r="BV74" s="373"/>
      <c r="BW74" s="9"/>
      <c r="BZ74" s="10"/>
      <c r="CA74" s="10"/>
    </row>
    <row r="75" spans="4:79" ht="12.75" hidden="1" customHeight="1" x14ac:dyDescent="0.2">
      <c r="D75" s="9" t="s">
        <v>345</v>
      </c>
      <c r="E75" s="374"/>
      <c r="F75" s="156"/>
      <c r="G75" s="373">
        <v>0</v>
      </c>
      <c r="H75" s="377"/>
      <c r="I75" s="373"/>
      <c r="J75" s="374"/>
      <c r="K75" s="374"/>
      <c r="L75" s="373">
        <v>0</v>
      </c>
      <c r="M75" s="377"/>
      <c r="N75" s="373"/>
      <c r="O75" s="374"/>
      <c r="P75" s="374"/>
      <c r="Q75" s="373">
        <v>0</v>
      </c>
      <c r="R75" s="377"/>
      <c r="S75" s="373"/>
      <c r="T75" s="374"/>
      <c r="U75" s="374"/>
      <c r="V75" s="373">
        <v>0</v>
      </c>
      <c r="W75" s="377"/>
      <c r="X75" s="373"/>
      <c r="Y75" s="374"/>
      <c r="Z75" s="374"/>
      <c r="AA75" s="373">
        <v>0</v>
      </c>
      <c r="AB75" s="377"/>
      <c r="AC75" s="373"/>
      <c r="AD75" s="374"/>
      <c r="AE75" s="374"/>
      <c r="AF75" s="373">
        <v>0</v>
      </c>
      <c r="AG75" s="377"/>
      <c r="AH75" s="373"/>
      <c r="AI75" s="374"/>
      <c r="AJ75" s="374"/>
      <c r="AK75" s="373">
        <v>0</v>
      </c>
      <c r="AL75" s="377"/>
      <c r="AM75" s="373"/>
      <c r="AN75" s="374"/>
      <c r="AO75" s="374"/>
      <c r="AP75" s="373">
        <v>0</v>
      </c>
      <c r="AQ75" s="377"/>
      <c r="AR75" s="373"/>
      <c r="AS75" s="374"/>
      <c r="AT75" s="374"/>
      <c r="AU75" s="373">
        <v>0</v>
      </c>
      <c r="AV75" s="377"/>
      <c r="AW75" s="373"/>
      <c r="AX75" s="374"/>
      <c r="AY75" s="374"/>
      <c r="AZ75" s="373">
        <v>0</v>
      </c>
      <c r="BA75" s="377"/>
      <c r="BB75" s="373"/>
      <c r="BC75" s="374"/>
      <c r="BD75" s="374"/>
      <c r="BE75" s="373">
        <v>0</v>
      </c>
      <c r="BF75" s="377"/>
      <c r="BG75" s="373"/>
      <c r="BH75" s="374"/>
      <c r="BI75" s="374"/>
      <c r="BJ75" s="373">
        <v>0</v>
      </c>
      <c r="BK75" s="377"/>
      <c r="BL75" s="373"/>
      <c r="BM75" s="374"/>
      <c r="BN75" s="374"/>
      <c r="BO75" s="373">
        <v>0</v>
      </c>
      <c r="BP75" s="377"/>
      <c r="BQ75" s="373"/>
      <c r="BR75" s="374"/>
      <c r="BS75" s="374"/>
      <c r="BT75" s="373">
        <f>SUM(L75:BO75)</f>
        <v>0</v>
      </c>
      <c r="BU75" s="377"/>
      <c r="BV75" s="373"/>
      <c r="BW75" s="9"/>
      <c r="BZ75" s="10"/>
      <c r="CA75" s="10"/>
    </row>
    <row r="76" spans="4:79" ht="12.75" hidden="1" customHeight="1" x14ac:dyDescent="0.2">
      <c r="D76" s="9" t="s">
        <v>353</v>
      </c>
      <c r="E76" s="374"/>
      <c r="F76" s="320"/>
      <c r="G76" s="385">
        <v>0</v>
      </c>
      <c r="H76" s="386"/>
      <c r="I76" s="373"/>
      <c r="J76" s="374"/>
      <c r="K76" s="387"/>
      <c r="L76" s="385">
        <v>0</v>
      </c>
      <c r="M76" s="386"/>
      <c r="N76" s="373"/>
      <c r="O76" s="374"/>
      <c r="P76" s="387"/>
      <c r="Q76" s="385">
        <v>0</v>
      </c>
      <c r="R76" s="386"/>
      <c r="S76" s="373"/>
      <c r="T76" s="374"/>
      <c r="U76" s="387"/>
      <c r="V76" s="385">
        <v>0</v>
      </c>
      <c r="W76" s="386"/>
      <c r="X76" s="373"/>
      <c r="Y76" s="374"/>
      <c r="Z76" s="387"/>
      <c r="AA76" s="385">
        <v>0</v>
      </c>
      <c r="AB76" s="386"/>
      <c r="AC76" s="373"/>
      <c r="AD76" s="374"/>
      <c r="AE76" s="387"/>
      <c r="AF76" s="385">
        <v>0</v>
      </c>
      <c r="AG76" s="386"/>
      <c r="AH76" s="373"/>
      <c r="AI76" s="374"/>
      <c r="AJ76" s="387"/>
      <c r="AK76" s="385">
        <v>0</v>
      </c>
      <c r="AL76" s="386"/>
      <c r="AM76" s="373"/>
      <c r="AN76" s="374"/>
      <c r="AO76" s="387"/>
      <c r="AP76" s="385">
        <v>0</v>
      </c>
      <c r="AQ76" s="386"/>
      <c r="AR76" s="373"/>
      <c r="AS76" s="374"/>
      <c r="AT76" s="387"/>
      <c r="AU76" s="385">
        <v>0</v>
      </c>
      <c r="AV76" s="386"/>
      <c r="AW76" s="373"/>
      <c r="AX76" s="374"/>
      <c r="AY76" s="387"/>
      <c r="AZ76" s="385">
        <v>0</v>
      </c>
      <c r="BA76" s="386"/>
      <c r="BB76" s="373"/>
      <c r="BC76" s="374"/>
      <c r="BD76" s="387"/>
      <c r="BE76" s="385">
        <v>0</v>
      </c>
      <c r="BF76" s="386"/>
      <c r="BG76" s="373"/>
      <c r="BH76" s="374"/>
      <c r="BI76" s="387"/>
      <c r="BJ76" s="385">
        <v>0</v>
      </c>
      <c r="BK76" s="386"/>
      <c r="BL76" s="373"/>
      <c r="BM76" s="374"/>
      <c r="BN76" s="387"/>
      <c r="BO76" s="385">
        <v>0</v>
      </c>
      <c r="BP76" s="386"/>
      <c r="BQ76" s="373"/>
      <c r="BR76" s="374"/>
      <c r="BS76" s="387"/>
      <c r="BT76" s="385">
        <f>SUM(L76:BO76)</f>
        <v>0</v>
      </c>
      <c r="BU76" s="386"/>
      <c r="BV76" s="373"/>
      <c r="BW76" s="9"/>
      <c r="BZ76" s="10"/>
      <c r="CA76" s="10"/>
    </row>
    <row r="77" spans="4:79" ht="12.75" customHeight="1" x14ac:dyDescent="0.2">
      <c r="D77" s="388"/>
      <c r="E77" s="324"/>
      <c r="F77" s="325"/>
      <c r="G77" s="323"/>
      <c r="H77" s="323"/>
      <c r="I77" s="323"/>
      <c r="J77" s="322"/>
      <c r="K77" s="323"/>
      <c r="L77" s="323"/>
      <c r="M77" s="323"/>
      <c r="N77" s="323"/>
      <c r="O77" s="322"/>
      <c r="P77" s="323"/>
      <c r="Q77" s="323"/>
      <c r="R77" s="323"/>
      <c r="S77" s="323"/>
      <c r="T77" s="322"/>
      <c r="U77" s="323"/>
      <c r="V77" s="323"/>
      <c r="W77" s="323"/>
      <c r="X77" s="323"/>
      <c r="Y77" s="322"/>
      <c r="Z77" s="323"/>
      <c r="AA77" s="323"/>
      <c r="AB77" s="323"/>
      <c r="AC77" s="323"/>
      <c r="AD77" s="322"/>
      <c r="AE77" s="323"/>
      <c r="AF77" s="323"/>
      <c r="AG77" s="323"/>
      <c r="AH77" s="323"/>
      <c r="AI77" s="322"/>
      <c r="AJ77" s="323"/>
      <c r="AK77" s="323"/>
      <c r="AL77" s="323"/>
      <c r="AM77" s="323"/>
      <c r="AN77" s="322"/>
      <c r="AO77" s="323"/>
      <c r="AP77" s="323"/>
      <c r="AQ77" s="323"/>
      <c r="AR77" s="323"/>
      <c r="AS77" s="322"/>
      <c r="AT77" s="323"/>
      <c r="AU77" s="323"/>
      <c r="AV77" s="323"/>
      <c r="AW77" s="323"/>
      <c r="AX77" s="322"/>
      <c r="AY77" s="323"/>
      <c r="AZ77" s="323"/>
      <c r="BA77" s="323"/>
      <c r="BB77" s="323"/>
      <c r="BC77" s="322"/>
      <c r="BD77" s="323"/>
      <c r="BE77" s="323"/>
      <c r="BF77" s="323"/>
      <c r="BG77" s="323"/>
      <c r="BH77" s="322"/>
      <c r="BI77" s="323"/>
      <c r="BJ77" s="323"/>
      <c r="BK77" s="323"/>
      <c r="BL77" s="323"/>
      <c r="BM77" s="322"/>
      <c r="BN77" s="323"/>
      <c r="BO77" s="323"/>
      <c r="BP77" s="323"/>
      <c r="BQ77" s="323"/>
      <c r="BR77" s="322"/>
      <c r="BS77" s="323"/>
      <c r="BT77" s="323"/>
      <c r="BU77" s="323"/>
      <c r="BV77" s="323"/>
      <c r="BW77" s="9"/>
      <c r="BZ77" s="10"/>
      <c r="CA77" s="10"/>
    </row>
    <row r="78" spans="4:79" ht="12.75" hidden="1" customHeight="1" x14ac:dyDescent="0.2">
      <c r="D78" s="9" t="s">
        <v>358</v>
      </c>
      <c r="E78" s="374"/>
      <c r="G78" s="373">
        <f>SUM(G79:G82)</f>
        <v>0</v>
      </c>
      <c r="H78" s="373"/>
      <c r="I78" s="373"/>
      <c r="J78" s="374"/>
      <c r="K78" s="373"/>
      <c r="L78" s="373">
        <f>SUM(L79:L82)</f>
        <v>0</v>
      </c>
      <c r="M78" s="373"/>
      <c r="N78" s="373"/>
      <c r="O78" s="374"/>
      <c r="P78" s="373"/>
      <c r="Q78" s="373">
        <f>SUM(Q79:Q82)</f>
        <v>0</v>
      </c>
      <c r="R78" s="373"/>
      <c r="S78" s="373"/>
      <c r="T78" s="374"/>
      <c r="U78" s="373"/>
      <c r="V78" s="373">
        <f>SUM(V79:V82)</f>
        <v>0</v>
      </c>
      <c r="W78" s="373"/>
      <c r="X78" s="373"/>
      <c r="Y78" s="374"/>
      <c r="Z78" s="373"/>
      <c r="AA78" s="373">
        <f>SUM(AA79:AA82)</f>
        <v>0</v>
      </c>
      <c r="AB78" s="373"/>
      <c r="AC78" s="373"/>
      <c r="AD78" s="374"/>
      <c r="AE78" s="373"/>
      <c r="AF78" s="373">
        <f>SUM(AF79:AF82)</f>
        <v>0</v>
      </c>
      <c r="AG78" s="373"/>
      <c r="AH78" s="373"/>
      <c r="AI78" s="374"/>
      <c r="AJ78" s="373"/>
      <c r="AK78" s="373">
        <f>SUM(AK79:AK82)</f>
        <v>0</v>
      </c>
      <c r="AL78" s="373"/>
      <c r="AM78" s="373"/>
      <c r="AN78" s="374"/>
      <c r="AO78" s="373"/>
      <c r="AP78" s="373">
        <f>SUM(AP79:AP82)</f>
        <v>0</v>
      </c>
      <c r="AQ78" s="373"/>
      <c r="AR78" s="373"/>
      <c r="AS78" s="374"/>
      <c r="AT78" s="373"/>
      <c r="AU78" s="373">
        <f>SUM(AU79:AU82)</f>
        <v>0</v>
      </c>
      <c r="AV78" s="373"/>
      <c r="AW78" s="373"/>
      <c r="AX78" s="374"/>
      <c r="AY78" s="373"/>
      <c r="AZ78" s="373">
        <f>SUM(AZ79:AZ82)</f>
        <v>0</v>
      </c>
      <c r="BA78" s="373"/>
      <c r="BB78" s="373"/>
      <c r="BC78" s="374"/>
      <c r="BD78" s="373"/>
      <c r="BE78" s="373">
        <f>SUM(BE79:BE82)</f>
        <v>0</v>
      </c>
      <c r="BF78" s="373"/>
      <c r="BG78" s="373"/>
      <c r="BH78" s="374"/>
      <c r="BI78" s="373"/>
      <c r="BJ78" s="373">
        <f>SUM(BJ79:BJ82)</f>
        <v>0</v>
      </c>
      <c r="BK78" s="373"/>
      <c r="BL78" s="373"/>
      <c r="BM78" s="374"/>
      <c r="BN78" s="373"/>
      <c r="BO78" s="373">
        <f>SUM(BO79:BO82)</f>
        <v>0</v>
      </c>
      <c r="BP78" s="373"/>
      <c r="BQ78" s="373"/>
      <c r="BR78" s="374"/>
      <c r="BS78" s="373"/>
      <c r="BT78" s="373">
        <f>SUM(BT79:BT82)</f>
        <v>0</v>
      </c>
      <c r="BU78" s="373"/>
      <c r="BV78" s="373"/>
      <c r="BW78" s="9"/>
      <c r="BZ78" s="10"/>
      <c r="CA78" s="10"/>
    </row>
    <row r="79" spans="4:79" ht="12.75" hidden="1" customHeight="1" x14ac:dyDescent="0.2">
      <c r="D79" s="383" t="s">
        <v>343</v>
      </c>
      <c r="E79" s="374"/>
      <c r="F79" s="309"/>
      <c r="G79" s="371">
        <v>0</v>
      </c>
      <c r="H79" s="372"/>
      <c r="I79" s="373"/>
      <c r="J79" s="374"/>
      <c r="K79" s="375"/>
      <c r="L79" s="371">
        <v>0</v>
      </c>
      <c r="M79" s="372"/>
      <c r="N79" s="373"/>
      <c r="O79" s="374"/>
      <c r="P79" s="375"/>
      <c r="Q79" s="371">
        <v>0</v>
      </c>
      <c r="R79" s="372"/>
      <c r="S79" s="373"/>
      <c r="T79" s="374"/>
      <c r="U79" s="375"/>
      <c r="V79" s="371">
        <v>0</v>
      </c>
      <c r="W79" s="372"/>
      <c r="X79" s="373"/>
      <c r="Y79" s="374"/>
      <c r="Z79" s="375"/>
      <c r="AA79" s="371">
        <v>0</v>
      </c>
      <c r="AB79" s="372"/>
      <c r="AC79" s="373"/>
      <c r="AD79" s="374"/>
      <c r="AE79" s="375"/>
      <c r="AF79" s="371">
        <v>0</v>
      </c>
      <c r="AG79" s="372"/>
      <c r="AH79" s="373"/>
      <c r="AI79" s="374"/>
      <c r="AJ79" s="375"/>
      <c r="AK79" s="371">
        <v>0</v>
      </c>
      <c r="AL79" s="372"/>
      <c r="AM79" s="373"/>
      <c r="AN79" s="374"/>
      <c r="AO79" s="375"/>
      <c r="AP79" s="371">
        <v>0</v>
      </c>
      <c r="AQ79" s="372"/>
      <c r="AR79" s="373"/>
      <c r="AS79" s="374"/>
      <c r="AT79" s="375"/>
      <c r="AU79" s="371">
        <v>0</v>
      </c>
      <c r="AV79" s="372"/>
      <c r="AW79" s="373"/>
      <c r="AX79" s="374"/>
      <c r="AY79" s="375"/>
      <c r="AZ79" s="371">
        <v>0</v>
      </c>
      <c r="BA79" s="372"/>
      <c r="BB79" s="373"/>
      <c r="BC79" s="374"/>
      <c r="BD79" s="375"/>
      <c r="BE79" s="371">
        <v>0</v>
      </c>
      <c r="BF79" s="372"/>
      <c r="BG79" s="373"/>
      <c r="BH79" s="374"/>
      <c r="BI79" s="375"/>
      <c r="BJ79" s="371">
        <v>0</v>
      </c>
      <c r="BK79" s="372"/>
      <c r="BL79" s="373"/>
      <c r="BM79" s="374"/>
      <c r="BN79" s="375"/>
      <c r="BO79" s="371">
        <v>0</v>
      </c>
      <c r="BP79" s="372"/>
      <c r="BQ79" s="373"/>
      <c r="BR79" s="374"/>
      <c r="BS79" s="375"/>
      <c r="BT79" s="371">
        <f>SUM(L79:BO79)</f>
        <v>0</v>
      </c>
      <c r="BU79" s="372"/>
      <c r="BV79" s="373"/>
      <c r="BW79" s="9"/>
      <c r="BZ79" s="10"/>
      <c r="CA79" s="10"/>
    </row>
    <row r="80" spans="4:79" ht="12.75" hidden="1" customHeight="1" x14ac:dyDescent="0.2">
      <c r="D80" s="383" t="s">
        <v>345</v>
      </c>
      <c r="E80" s="374"/>
      <c r="F80" s="156"/>
      <c r="G80" s="373">
        <v>0</v>
      </c>
      <c r="H80" s="377"/>
      <c r="I80" s="373"/>
      <c r="J80" s="374"/>
      <c r="K80" s="374"/>
      <c r="L80" s="373">
        <v>0</v>
      </c>
      <c r="M80" s="377"/>
      <c r="N80" s="373"/>
      <c r="O80" s="374"/>
      <c r="P80" s="374"/>
      <c r="Q80" s="373">
        <v>0</v>
      </c>
      <c r="R80" s="377"/>
      <c r="S80" s="373"/>
      <c r="T80" s="374"/>
      <c r="U80" s="374"/>
      <c r="V80" s="373">
        <v>0</v>
      </c>
      <c r="W80" s="377"/>
      <c r="X80" s="373"/>
      <c r="Y80" s="374"/>
      <c r="Z80" s="374"/>
      <c r="AA80" s="373">
        <v>0</v>
      </c>
      <c r="AB80" s="377"/>
      <c r="AC80" s="373"/>
      <c r="AD80" s="374"/>
      <c r="AE80" s="374"/>
      <c r="AF80" s="373">
        <v>0</v>
      </c>
      <c r="AG80" s="377"/>
      <c r="AH80" s="373"/>
      <c r="AI80" s="374"/>
      <c r="AJ80" s="374"/>
      <c r="AK80" s="373">
        <v>0</v>
      </c>
      <c r="AL80" s="377"/>
      <c r="AM80" s="373"/>
      <c r="AN80" s="374"/>
      <c r="AO80" s="374"/>
      <c r="AP80" s="373">
        <v>0</v>
      </c>
      <c r="AQ80" s="377"/>
      <c r="AR80" s="373"/>
      <c r="AS80" s="374"/>
      <c r="AT80" s="374"/>
      <c r="AU80" s="373">
        <v>0</v>
      </c>
      <c r="AV80" s="377"/>
      <c r="AW80" s="373"/>
      <c r="AX80" s="374"/>
      <c r="AY80" s="374"/>
      <c r="AZ80" s="373">
        <v>0</v>
      </c>
      <c r="BA80" s="377"/>
      <c r="BB80" s="373"/>
      <c r="BC80" s="374"/>
      <c r="BD80" s="374"/>
      <c r="BE80" s="373">
        <v>0</v>
      </c>
      <c r="BF80" s="377"/>
      <c r="BG80" s="373"/>
      <c r="BH80" s="374"/>
      <c r="BI80" s="374"/>
      <c r="BJ80" s="373">
        <v>0</v>
      </c>
      <c r="BK80" s="377"/>
      <c r="BL80" s="373"/>
      <c r="BM80" s="374"/>
      <c r="BN80" s="374"/>
      <c r="BO80" s="373">
        <v>0</v>
      </c>
      <c r="BP80" s="377"/>
      <c r="BQ80" s="373"/>
      <c r="BR80" s="374"/>
      <c r="BS80" s="374"/>
      <c r="BT80" s="373">
        <f>SUM(L80:BO80)</f>
        <v>0</v>
      </c>
      <c r="BU80" s="377"/>
      <c r="BV80" s="373"/>
      <c r="BW80" s="9"/>
      <c r="BZ80" s="10"/>
      <c r="CA80" s="10"/>
    </row>
    <row r="81" spans="3:79" ht="12.75" hidden="1" customHeight="1" x14ac:dyDescent="0.2">
      <c r="D81" s="9" t="s">
        <v>346</v>
      </c>
      <c r="E81" s="374"/>
      <c r="F81" s="156"/>
      <c r="G81" s="373">
        <v>0</v>
      </c>
      <c r="H81" s="377"/>
      <c r="I81" s="373"/>
      <c r="J81" s="374"/>
      <c r="K81" s="374"/>
      <c r="L81" s="373">
        <v>0</v>
      </c>
      <c r="M81" s="377"/>
      <c r="N81" s="373"/>
      <c r="O81" s="374"/>
      <c r="P81" s="374"/>
      <c r="Q81" s="373">
        <v>0</v>
      </c>
      <c r="R81" s="377"/>
      <c r="S81" s="373"/>
      <c r="T81" s="374"/>
      <c r="U81" s="374"/>
      <c r="V81" s="373">
        <v>0</v>
      </c>
      <c r="W81" s="377"/>
      <c r="X81" s="373"/>
      <c r="Y81" s="374"/>
      <c r="Z81" s="374"/>
      <c r="AA81" s="373">
        <v>0</v>
      </c>
      <c r="AB81" s="377"/>
      <c r="AC81" s="373"/>
      <c r="AD81" s="374"/>
      <c r="AE81" s="374"/>
      <c r="AF81" s="373">
        <v>0</v>
      </c>
      <c r="AG81" s="377"/>
      <c r="AH81" s="373"/>
      <c r="AI81" s="374"/>
      <c r="AJ81" s="374"/>
      <c r="AK81" s="373">
        <v>0</v>
      </c>
      <c r="AL81" s="377"/>
      <c r="AM81" s="373"/>
      <c r="AN81" s="374"/>
      <c r="AO81" s="374"/>
      <c r="AP81" s="373">
        <v>0</v>
      </c>
      <c r="AQ81" s="377"/>
      <c r="AR81" s="373"/>
      <c r="AS81" s="374"/>
      <c r="AT81" s="374"/>
      <c r="AU81" s="373">
        <v>0</v>
      </c>
      <c r="AV81" s="377"/>
      <c r="AW81" s="373"/>
      <c r="AX81" s="374"/>
      <c r="AY81" s="374"/>
      <c r="AZ81" s="373">
        <v>0</v>
      </c>
      <c r="BA81" s="377"/>
      <c r="BB81" s="373"/>
      <c r="BC81" s="374"/>
      <c r="BD81" s="374"/>
      <c r="BE81" s="373">
        <v>0</v>
      </c>
      <c r="BF81" s="377"/>
      <c r="BG81" s="373"/>
      <c r="BH81" s="374"/>
      <c r="BI81" s="374"/>
      <c r="BJ81" s="373">
        <v>0</v>
      </c>
      <c r="BK81" s="377"/>
      <c r="BL81" s="373"/>
      <c r="BM81" s="374"/>
      <c r="BN81" s="374"/>
      <c r="BO81" s="373">
        <v>0</v>
      </c>
      <c r="BP81" s="377"/>
      <c r="BQ81" s="373"/>
      <c r="BR81" s="374"/>
      <c r="BS81" s="374"/>
      <c r="BT81" s="373">
        <f>SUM(L81:BO81)</f>
        <v>0</v>
      </c>
      <c r="BU81" s="377"/>
      <c r="BV81" s="373"/>
      <c r="BW81" s="9"/>
      <c r="BZ81" s="10"/>
      <c r="CA81" s="10"/>
    </row>
    <row r="82" spans="3:79" ht="12.75" hidden="1" customHeight="1" x14ac:dyDescent="0.2">
      <c r="D82" s="9" t="s">
        <v>347</v>
      </c>
      <c r="E82" s="374"/>
      <c r="F82" s="320"/>
      <c r="G82" s="385">
        <v>0</v>
      </c>
      <c r="H82" s="386"/>
      <c r="I82" s="373"/>
      <c r="J82" s="374"/>
      <c r="K82" s="387"/>
      <c r="L82" s="385">
        <v>0</v>
      </c>
      <c r="M82" s="386"/>
      <c r="N82" s="373"/>
      <c r="O82" s="374"/>
      <c r="P82" s="387"/>
      <c r="Q82" s="385">
        <v>0</v>
      </c>
      <c r="R82" s="386"/>
      <c r="S82" s="373"/>
      <c r="T82" s="374"/>
      <c r="U82" s="387"/>
      <c r="V82" s="385">
        <v>0</v>
      </c>
      <c r="W82" s="386"/>
      <c r="X82" s="373"/>
      <c r="Y82" s="374"/>
      <c r="Z82" s="387"/>
      <c r="AA82" s="385">
        <v>0</v>
      </c>
      <c r="AB82" s="386"/>
      <c r="AC82" s="373"/>
      <c r="AD82" s="374"/>
      <c r="AE82" s="387"/>
      <c r="AF82" s="385">
        <v>0</v>
      </c>
      <c r="AG82" s="386"/>
      <c r="AH82" s="373"/>
      <c r="AI82" s="374"/>
      <c r="AJ82" s="387"/>
      <c r="AK82" s="385">
        <v>0</v>
      </c>
      <c r="AL82" s="386"/>
      <c r="AM82" s="373"/>
      <c r="AN82" s="374"/>
      <c r="AO82" s="387"/>
      <c r="AP82" s="385">
        <v>0</v>
      </c>
      <c r="AQ82" s="386"/>
      <c r="AR82" s="373"/>
      <c r="AS82" s="374"/>
      <c r="AT82" s="387"/>
      <c r="AU82" s="385">
        <v>0</v>
      </c>
      <c r="AV82" s="386"/>
      <c r="AW82" s="373"/>
      <c r="AX82" s="374"/>
      <c r="AY82" s="387"/>
      <c r="AZ82" s="385">
        <v>0</v>
      </c>
      <c r="BA82" s="386"/>
      <c r="BB82" s="373"/>
      <c r="BC82" s="374"/>
      <c r="BD82" s="387"/>
      <c r="BE82" s="385">
        <v>0</v>
      </c>
      <c r="BF82" s="386"/>
      <c r="BG82" s="373"/>
      <c r="BH82" s="374"/>
      <c r="BI82" s="387"/>
      <c r="BJ82" s="385">
        <v>0</v>
      </c>
      <c r="BK82" s="386"/>
      <c r="BL82" s="373"/>
      <c r="BM82" s="374"/>
      <c r="BN82" s="387"/>
      <c r="BO82" s="385">
        <v>0</v>
      </c>
      <c r="BP82" s="386"/>
      <c r="BQ82" s="373"/>
      <c r="BR82" s="374"/>
      <c r="BS82" s="387"/>
      <c r="BT82" s="385">
        <f>SUM(L82:BO82)</f>
        <v>0</v>
      </c>
      <c r="BU82" s="386"/>
      <c r="BV82" s="373"/>
      <c r="BW82" s="9"/>
      <c r="BZ82" s="10"/>
      <c r="CA82" s="10"/>
    </row>
    <row r="83" spans="3:79" ht="12.75" hidden="1" customHeight="1" x14ac:dyDescent="0.2">
      <c r="D83" s="9"/>
      <c r="E83" s="374"/>
      <c r="G83" s="373"/>
      <c r="H83" s="373"/>
      <c r="I83" s="373"/>
      <c r="J83" s="374"/>
      <c r="K83" s="373"/>
      <c r="L83" s="373"/>
      <c r="M83" s="373"/>
      <c r="N83" s="373"/>
      <c r="O83" s="374"/>
      <c r="P83" s="373"/>
      <c r="Q83" s="373"/>
      <c r="R83" s="373"/>
      <c r="S83" s="373"/>
      <c r="T83" s="374"/>
      <c r="U83" s="373"/>
      <c r="V83" s="373"/>
      <c r="W83" s="373"/>
      <c r="X83" s="373"/>
      <c r="Y83" s="374"/>
      <c r="Z83" s="373"/>
      <c r="AA83" s="373"/>
      <c r="AB83" s="373"/>
      <c r="AC83" s="373"/>
      <c r="AD83" s="374"/>
      <c r="AE83" s="373"/>
      <c r="AF83" s="373"/>
      <c r="AG83" s="373"/>
      <c r="AH83" s="373"/>
      <c r="AI83" s="374"/>
      <c r="AJ83" s="373"/>
      <c r="AK83" s="373"/>
      <c r="AL83" s="373"/>
      <c r="AM83" s="373"/>
      <c r="AN83" s="374"/>
      <c r="AO83" s="373"/>
      <c r="AP83" s="373"/>
      <c r="AQ83" s="373"/>
      <c r="AR83" s="373"/>
      <c r="AS83" s="374"/>
      <c r="AT83" s="373"/>
      <c r="AU83" s="373"/>
      <c r="AV83" s="373"/>
      <c r="AW83" s="373"/>
      <c r="AX83" s="374"/>
      <c r="AY83" s="373"/>
      <c r="AZ83" s="373"/>
      <c r="BA83" s="373"/>
      <c r="BB83" s="373"/>
      <c r="BC83" s="374"/>
      <c r="BD83" s="373"/>
      <c r="BE83" s="373"/>
      <c r="BF83" s="373"/>
      <c r="BG83" s="373"/>
      <c r="BH83" s="374"/>
      <c r="BI83" s="373"/>
      <c r="BJ83" s="373"/>
      <c r="BK83" s="373"/>
      <c r="BL83" s="373"/>
      <c r="BM83" s="374"/>
      <c r="BN83" s="373"/>
      <c r="BO83" s="373"/>
      <c r="BP83" s="373"/>
      <c r="BQ83" s="373"/>
      <c r="BR83" s="374"/>
      <c r="BS83" s="373"/>
      <c r="BT83" s="373"/>
      <c r="BU83" s="373"/>
      <c r="BV83" s="373"/>
      <c r="BW83" s="9"/>
      <c r="BZ83" s="10"/>
      <c r="CA83" s="10"/>
    </row>
    <row r="84" spans="3:79" ht="12.75" hidden="1" customHeight="1" x14ac:dyDescent="0.2">
      <c r="D84" s="9" t="s">
        <v>359</v>
      </c>
      <c r="E84" s="374"/>
      <c r="G84" s="373">
        <f>SUM(G85:G87)</f>
        <v>0</v>
      </c>
      <c r="H84" s="373"/>
      <c r="I84" s="373"/>
      <c r="J84" s="374"/>
      <c r="K84" s="373"/>
      <c r="L84" s="373">
        <f>SUM(L85:L87)</f>
        <v>0</v>
      </c>
      <c r="M84" s="373"/>
      <c r="N84" s="373"/>
      <c r="O84" s="374"/>
      <c r="P84" s="373"/>
      <c r="Q84" s="373">
        <f>SUM(Q85:Q87)</f>
        <v>0</v>
      </c>
      <c r="R84" s="373"/>
      <c r="S84" s="373"/>
      <c r="T84" s="374"/>
      <c r="U84" s="373"/>
      <c r="V84" s="373">
        <f>SUM(V85:V87)</f>
        <v>0</v>
      </c>
      <c r="W84" s="373"/>
      <c r="X84" s="373"/>
      <c r="Y84" s="374"/>
      <c r="Z84" s="373"/>
      <c r="AA84" s="373">
        <f>SUM(AA85:AA87)</f>
        <v>0</v>
      </c>
      <c r="AB84" s="373"/>
      <c r="AC84" s="373"/>
      <c r="AD84" s="374"/>
      <c r="AE84" s="373"/>
      <c r="AF84" s="373">
        <f>SUM(AF85:AF87)</f>
        <v>0</v>
      </c>
      <c r="AG84" s="373"/>
      <c r="AH84" s="373"/>
      <c r="AI84" s="374"/>
      <c r="AJ84" s="373"/>
      <c r="AK84" s="373">
        <f>SUM(AK85:AK87)</f>
        <v>0</v>
      </c>
      <c r="AL84" s="373"/>
      <c r="AM84" s="373"/>
      <c r="AN84" s="374"/>
      <c r="AO84" s="373"/>
      <c r="AP84" s="373">
        <f>SUM(AP85:AP87)</f>
        <v>0</v>
      </c>
      <c r="AQ84" s="373"/>
      <c r="AR84" s="373"/>
      <c r="AS84" s="374"/>
      <c r="AT84" s="373"/>
      <c r="AU84" s="373">
        <f>SUM(AU85:AU87)</f>
        <v>0</v>
      </c>
      <c r="AV84" s="373"/>
      <c r="AW84" s="373"/>
      <c r="AX84" s="374"/>
      <c r="AY84" s="373"/>
      <c r="AZ84" s="373">
        <f>SUM(AZ85:AZ87)</f>
        <v>0</v>
      </c>
      <c r="BA84" s="373"/>
      <c r="BB84" s="373"/>
      <c r="BC84" s="374"/>
      <c r="BD84" s="373"/>
      <c r="BE84" s="373">
        <f>SUM(BE85:BE87)</f>
        <v>0</v>
      </c>
      <c r="BF84" s="373"/>
      <c r="BG84" s="373"/>
      <c r="BH84" s="374"/>
      <c r="BI84" s="373"/>
      <c r="BJ84" s="373">
        <f>SUM(BJ85:BJ87)</f>
        <v>0</v>
      </c>
      <c r="BK84" s="373"/>
      <c r="BL84" s="373"/>
      <c r="BM84" s="374"/>
      <c r="BN84" s="373"/>
      <c r="BO84" s="373">
        <f>SUM(BO85:BO87)</f>
        <v>0</v>
      </c>
      <c r="BP84" s="373"/>
      <c r="BQ84" s="373"/>
      <c r="BR84" s="374"/>
      <c r="BS84" s="373"/>
      <c r="BT84" s="373">
        <f>SUM(BT85:BT87)</f>
        <v>0</v>
      </c>
      <c r="BU84" s="373"/>
      <c r="BV84" s="373"/>
      <c r="BW84" s="9"/>
      <c r="BZ84" s="10"/>
      <c r="CA84" s="10"/>
    </row>
    <row r="85" spans="3:79" ht="12.75" hidden="1" customHeight="1" x14ac:dyDescent="0.2">
      <c r="D85" s="9" t="s">
        <v>343</v>
      </c>
      <c r="E85" s="374"/>
      <c r="F85" s="309"/>
      <c r="G85" s="371">
        <v>0</v>
      </c>
      <c r="H85" s="372"/>
      <c r="I85" s="373"/>
      <c r="J85" s="374"/>
      <c r="K85" s="375"/>
      <c r="L85" s="371">
        <v>0</v>
      </c>
      <c r="M85" s="372"/>
      <c r="N85" s="373"/>
      <c r="O85" s="374"/>
      <c r="P85" s="375"/>
      <c r="Q85" s="371">
        <v>0</v>
      </c>
      <c r="R85" s="372"/>
      <c r="S85" s="373"/>
      <c r="T85" s="374"/>
      <c r="U85" s="309"/>
      <c r="V85" s="371">
        <v>0</v>
      </c>
      <c r="W85" s="372"/>
      <c r="X85" s="373"/>
      <c r="Y85" s="374"/>
      <c r="Z85" s="375"/>
      <c r="AA85" s="371">
        <v>0</v>
      </c>
      <c r="AB85" s="372"/>
      <c r="AC85" s="373"/>
      <c r="AD85" s="374"/>
      <c r="AE85" s="375"/>
      <c r="AF85" s="371">
        <v>0</v>
      </c>
      <c r="AG85" s="372"/>
      <c r="AH85" s="373"/>
      <c r="AI85" s="374"/>
      <c r="AJ85" s="375"/>
      <c r="AK85" s="371">
        <v>0</v>
      </c>
      <c r="AL85" s="372"/>
      <c r="AM85" s="373"/>
      <c r="AN85" s="374"/>
      <c r="AO85" s="375"/>
      <c r="AP85" s="371">
        <v>0</v>
      </c>
      <c r="AQ85" s="372"/>
      <c r="AR85" s="373"/>
      <c r="AS85" s="374"/>
      <c r="AT85" s="375"/>
      <c r="AU85" s="371">
        <v>0</v>
      </c>
      <c r="AV85" s="372"/>
      <c r="AW85" s="373"/>
      <c r="AX85" s="374"/>
      <c r="AY85" s="375"/>
      <c r="AZ85" s="371">
        <v>0</v>
      </c>
      <c r="BA85" s="372"/>
      <c r="BB85" s="373"/>
      <c r="BC85" s="374"/>
      <c r="BD85" s="375"/>
      <c r="BE85" s="371">
        <v>0</v>
      </c>
      <c r="BF85" s="372"/>
      <c r="BG85" s="373"/>
      <c r="BH85" s="374"/>
      <c r="BI85" s="375"/>
      <c r="BJ85" s="371">
        <v>0</v>
      </c>
      <c r="BK85" s="372"/>
      <c r="BL85" s="373"/>
      <c r="BM85" s="374"/>
      <c r="BN85" s="375"/>
      <c r="BO85" s="371">
        <v>0</v>
      </c>
      <c r="BP85" s="372"/>
      <c r="BQ85" s="373"/>
      <c r="BR85" s="374"/>
      <c r="BS85" s="375"/>
      <c r="BT85" s="371">
        <f>SUM(L85:BO85)</f>
        <v>0</v>
      </c>
      <c r="BU85" s="372"/>
      <c r="BV85" s="373"/>
      <c r="BW85" s="9"/>
      <c r="BZ85" s="10"/>
      <c r="CA85" s="10"/>
    </row>
    <row r="86" spans="3:79" ht="12.75" hidden="1" customHeight="1" x14ac:dyDescent="0.2">
      <c r="D86" s="9" t="s">
        <v>345</v>
      </c>
      <c r="E86" s="374"/>
      <c r="F86" s="156"/>
      <c r="G86" s="373">
        <v>0</v>
      </c>
      <c r="H86" s="377"/>
      <c r="I86" s="373"/>
      <c r="J86" s="374"/>
      <c r="K86" s="374"/>
      <c r="L86" s="373">
        <v>0</v>
      </c>
      <c r="M86" s="377"/>
      <c r="N86" s="373"/>
      <c r="O86" s="374"/>
      <c r="P86" s="374"/>
      <c r="Q86" s="373">
        <v>0</v>
      </c>
      <c r="R86" s="377"/>
      <c r="S86" s="373"/>
      <c r="T86" s="374"/>
      <c r="U86" s="156"/>
      <c r="V86" s="373">
        <v>0</v>
      </c>
      <c r="W86" s="377"/>
      <c r="X86" s="373"/>
      <c r="Y86" s="374"/>
      <c r="Z86" s="374"/>
      <c r="AA86" s="373">
        <v>0</v>
      </c>
      <c r="AB86" s="377"/>
      <c r="AC86" s="373"/>
      <c r="AD86" s="374"/>
      <c r="AE86" s="374"/>
      <c r="AF86" s="373">
        <v>0</v>
      </c>
      <c r="AG86" s="377"/>
      <c r="AH86" s="373"/>
      <c r="AI86" s="374"/>
      <c r="AJ86" s="374"/>
      <c r="AK86" s="373">
        <v>0</v>
      </c>
      <c r="AL86" s="377"/>
      <c r="AM86" s="373"/>
      <c r="AN86" s="374"/>
      <c r="AO86" s="374"/>
      <c r="AP86" s="373">
        <v>0</v>
      </c>
      <c r="AQ86" s="377"/>
      <c r="AR86" s="373"/>
      <c r="AS86" s="374"/>
      <c r="AT86" s="374"/>
      <c r="AU86" s="373">
        <v>0</v>
      </c>
      <c r="AV86" s="377"/>
      <c r="AW86" s="373"/>
      <c r="AX86" s="374"/>
      <c r="AY86" s="374"/>
      <c r="AZ86" s="373">
        <v>0</v>
      </c>
      <c r="BA86" s="377"/>
      <c r="BB86" s="373"/>
      <c r="BC86" s="374"/>
      <c r="BD86" s="374"/>
      <c r="BE86" s="373">
        <v>0</v>
      </c>
      <c r="BF86" s="377"/>
      <c r="BG86" s="373"/>
      <c r="BH86" s="374"/>
      <c r="BI86" s="374"/>
      <c r="BJ86" s="373">
        <v>0</v>
      </c>
      <c r="BK86" s="377"/>
      <c r="BL86" s="373"/>
      <c r="BM86" s="374"/>
      <c r="BN86" s="374"/>
      <c r="BO86" s="373">
        <v>0</v>
      </c>
      <c r="BP86" s="377"/>
      <c r="BQ86" s="373"/>
      <c r="BR86" s="374"/>
      <c r="BS86" s="374"/>
      <c r="BT86" s="373">
        <f>SUM(L86:BO86)</f>
        <v>0</v>
      </c>
      <c r="BU86" s="377"/>
      <c r="BV86" s="373"/>
      <c r="BW86" s="9"/>
      <c r="BZ86" s="10"/>
      <c r="CA86" s="10"/>
    </row>
    <row r="87" spans="3:79" ht="12.75" hidden="1" customHeight="1" x14ac:dyDescent="0.2">
      <c r="D87" s="9" t="s">
        <v>353</v>
      </c>
      <c r="E87" s="374"/>
      <c r="F87" s="320"/>
      <c r="G87" s="385">
        <v>0</v>
      </c>
      <c r="H87" s="386"/>
      <c r="I87" s="373"/>
      <c r="J87" s="374"/>
      <c r="K87" s="387"/>
      <c r="L87" s="385">
        <v>0</v>
      </c>
      <c r="M87" s="386"/>
      <c r="N87" s="373"/>
      <c r="O87" s="374"/>
      <c r="P87" s="387"/>
      <c r="Q87" s="385">
        <v>0</v>
      </c>
      <c r="R87" s="386"/>
      <c r="S87" s="373"/>
      <c r="T87" s="374"/>
      <c r="U87" s="320"/>
      <c r="V87" s="385">
        <v>0</v>
      </c>
      <c r="W87" s="386"/>
      <c r="X87" s="373"/>
      <c r="Y87" s="374"/>
      <c r="Z87" s="387"/>
      <c r="AA87" s="385">
        <v>0</v>
      </c>
      <c r="AB87" s="386"/>
      <c r="AC87" s="373"/>
      <c r="AD87" s="374"/>
      <c r="AE87" s="387"/>
      <c r="AF87" s="385">
        <v>0</v>
      </c>
      <c r="AG87" s="386"/>
      <c r="AH87" s="373"/>
      <c r="AI87" s="374"/>
      <c r="AJ87" s="387"/>
      <c r="AK87" s="385">
        <v>0</v>
      </c>
      <c r="AL87" s="386"/>
      <c r="AM87" s="373"/>
      <c r="AN87" s="374"/>
      <c r="AO87" s="387"/>
      <c r="AP87" s="385">
        <v>0</v>
      </c>
      <c r="AQ87" s="386"/>
      <c r="AR87" s="373"/>
      <c r="AS87" s="374"/>
      <c r="AT87" s="387"/>
      <c r="AU87" s="385">
        <v>0</v>
      </c>
      <c r="AV87" s="386"/>
      <c r="AW87" s="373"/>
      <c r="AX87" s="374"/>
      <c r="AY87" s="387"/>
      <c r="AZ87" s="385">
        <v>0</v>
      </c>
      <c r="BA87" s="386"/>
      <c r="BB87" s="373"/>
      <c r="BC87" s="374"/>
      <c r="BD87" s="387"/>
      <c r="BE87" s="385">
        <v>0</v>
      </c>
      <c r="BF87" s="386"/>
      <c r="BG87" s="373"/>
      <c r="BH87" s="374"/>
      <c r="BI87" s="387"/>
      <c r="BJ87" s="385">
        <v>0</v>
      </c>
      <c r="BK87" s="386"/>
      <c r="BL87" s="373"/>
      <c r="BM87" s="374"/>
      <c r="BN87" s="387"/>
      <c r="BO87" s="385">
        <v>0</v>
      </c>
      <c r="BP87" s="386"/>
      <c r="BQ87" s="373"/>
      <c r="BR87" s="374"/>
      <c r="BS87" s="387"/>
      <c r="BT87" s="385">
        <f>SUM(L87:BO87)</f>
        <v>0</v>
      </c>
      <c r="BU87" s="386"/>
      <c r="BV87" s="373"/>
      <c r="BW87" s="9"/>
      <c r="BZ87" s="10"/>
      <c r="CA87" s="10"/>
    </row>
    <row r="88" spans="3:79" ht="12.75" hidden="1" customHeight="1" x14ac:dyDescent="0.2">
      <c r="D88" s="9"/>
      <c r="E88" s="374"/>
      <c r="G88" s="373"/>
      <c r="H88" s="373"/>
      <c r="I88" s="373"/>
      <c r="J88" s="374"/>
      <c r="K88" s="373"/>
      <c r="L88" s="373"/>
      <c r="M88" s="373"/>
      <c r="N88" s="373"/>
      <c r="O88" s="374"/>
      <c r="P88" s="373"/>
      <c r="Q88" s="373"/>
      <c r="R88" s="373"/>
      <c r="S88" s="373"/>
      <c r="T88" s="374"/>
      <c r="U88" s="373"/>
      <c r="V88" s="373"/>
      <c r="W88" s="373"/>
      <c r="X88" s="373"/>
      <c r="Y88" s="374"/>
      <c r="Z88" s="373"/>
      <c r="AA88" s="373"/>
      <c r="AB88" s="373"/>
      <c r="AC88" s="373"/>
      <c r="AD88" s="374"/>
      <c r="AE88" s="373"/>
      <c r="AF88" s="373"/>
      <c r="AG88" s="373"/>
      <c r="AH88" s="373"/>
      <c r="AI88" s="374"/>
      <c r="AJ88" s="373"/>
      <c r="AK88" s="373"/>
      <c r="AL88" s="373"/>
      <c r="AM88" s="373"/>
      <c r="AN88" s="374"/>
      <c r="AO88" s="373"/>
      <c r="AP88" s="373"/>
      <c r="AQ88" s="373"/>
      <c r="AR88" s="373"/>
      <c r="AS88" s="374"/>
      <c r="AT88" s="373"/>
      <c r="AU88" s="373"/>
      <c r="AV88" s="373"/>
      <c r="AW88" s="373"/>
      <c r="AX88" s="374"/>
      <c r="AY88" s="373"/>
      <c r="AZ88" s="373"/>
      <c r="BA88" s="373"/>
      <c r="BB88" s="373"/>
      <c r="BC88" s="374"/>
      <c r="BD88" s="373"/>
      <c r="BE88" s="373"/>
      <c r="BF88" s="373"/>
      <c r="BG88" s="373"/>
      <c r="BH88" s="374"/>
      <c r="BI88" s="373"/>
      <c r="BJ88" s="373"/>
      <c r="BK88" s="373"/>
      <c r="BL88" s="373"/>
      <c r="BM88" s="374"/>
      <c r="BN88" s="373"/>
      <c r="BO88" s="373"/>
      <c r="BP88" s="373"/>
      <c r="BQ88" s="373"/>
      <c r="BR88" s="374"/>
      <c r="BS88" s="373"/>
      <c r="BT88" s="373"/>
      <c r="BU88" s="373"/>
      <c r="BV88" s="373"/>
      <c r="BW88" s="9"/>
      <c r="BZ88" s="10"/>
      <c r="CA88" s="10"/>
    </row>
    <row r="89" spans="3:79" ht="12.75" hidden="1" customHeight="1" x14ac:dyDescent="0.2">
      <c r="C89" s="151"/>
      <c r="D89" s="150" t="s">
        <v>360</v>
      </c>
      <c r="E89" s="374"/>
      <c r="G89" s="373">
        <f>SUM(G90:G92)</f>
        <v>0</v>
      </c>
      <c r="H89" s="373"/>
      <c r="I89" s="373"/>
      <c r="J89" s="374"/>
      <c r="K89" s="373"/>
      <c r="L89" s="373">
        <f>SUM(L90:L92)</f>
        <v>0</v>
      </c>
      <c r="M89" s="373"/>
      <c r="N89" s="373"/>
      <c r="O89" s="374"/>
      <c r="P89" s="373"/>
      <c r="Q89" s="373">
        <f>SUM(Q90:Q92)</f>
        <v>0</v>
      </c>
      <c r="R89" s="373"/>
      <c r="S89" s="373"/>
      <c r="T89" s="374"/>
      <c r="U89" s="373"/>
      <c r="V89" s="373">
        <f>SUM(V90:V92)</f>
        <v>0</v>
      </c>
      <c r="W89" s="373"/>
      <c r="X89" s="373"/>
      <c r="Y89" s="374"/>
      <c r="Z89" s="373"/>
      <c r="AA89" s="373">
        <f>SUM(AA90:AA92)</f>
        <v>0</v>
      </c>
      <c r="AB89" s="373"/>
      <c r="AC89" s="373"/>
      <c r="AD89" s="374"/>
      <c r="AE89" s="373"/>
      <c r="AF89" s="373">
        <f>SUM(AF90:AF92)</f>
        <v>0</v>
      </c>
      <c r="AG89" s="373"/>
      <c r="AH89" s="373"/>
      <c r="AI89" s="374"/>
      <c r="AJ89" s="373"/>
      <c r="AK89" s="373">
        <f>SUM(AK90:AK92)</f>
        <v>0</v>
      </c>
      <c r="AL89" s="373"/>
      <c r="AM89" s="373"/>
      <c r="AN89" s="374"/>
      <c r="AO89" s="373"/>
      <c r="AP89" s="373">
        <f>SUM(AP90:AP92)</f>
        <v>0</v>
      </c>
      <c r="AQ89" s="373"/>
      <c r="AR89" s="373"/>
      <c r="AS89" s="374"/>
      <c r="AT89" s="373"/>
      <c r="AU89" s="373">
        <f>SUM(AU90:AU92)</f>
        <v>0</v>
      </c>
      <c r="AV89" s="373"/>
      <c r="AW89" s="373"/>
      <c r="AX89" s="374"/>
      <c r="AY89" s="373"/>
      <c r="AZ89" s="373">
        <f>SUM(AZ90:AZ92)</f>
        <v>0</v>
      </c>
      <c r="BA89" s="373"/>
      <c r="BB89" s="373"/>
      <c r="BC89" s="374"/>
      <c r="BD89" s="373"/>
      <c r="BE89" s="373">
        <f>SUM(BE90:BE92)</f>
        <v>0</v>
      </c>
      <c r="BF89" s="373"/>
      <c r="BG89" s="373"/>
      <c r="BH89" s="374"/>
      <c r="BI89" s="373"/>
      <c r="BJ89" s="373">
        <f>SUM(BJ90:BJ92)</f>
        <v>0</v>
      </c>
      <c r="BK89" s="373"/>
      <c r="BL89" s="373"/>
      <c r="BM89" s="374"/>
      <c r="BN89" s="373"/>
      <c r="BO89" s="373">
        <f>SUM(BO90:BO92)</f>
        <v>0</v>
      </c>
      <c r="BP89" s="373"/>
      <c r="BQ89" s="373"/>
      <c r="BR89" s="374"/>
      <c r="BS89" s="373"/>
      <c r="BT89" s="373">
        <f>SUM(BT90:BT92)</f>
        <v>0</v>
      </c>
      <c r="BU89" s="373"/>
      <c r="BV89" s="373"/>
      <c r="BW89" s="9"/>
      <c r="BZ89" s="10"/>
      <c r="CA89" s="10"/>
    </row>
    <row r="90" spans="3:79" ht="12.75" hidden="1" customHeight="1" x14ac:dyDescent="0.2">
      <c r="D90" s="9" t="s">
        <v>343</v>
      </c>
      <c r="E90" s="374"/>
      <c r="F90" s="309"/>
      <c r="G90" s="371">
        <v>0</v>
      </c>
      <c r="H90" s="372"/>
      <c r="I90" s="373"/>
      <c r="J90" s="374"/>
      <c r="K90" s="375"/>
      <c r="L90" s="371">
        <v>0</v>
      </c>
      <c r="M90" s="372"/>
      <c r="N90" s="373"/>
      <c r="O90" s="374"/>
      <c r="P90" s="375"/>
      <c r="Q90" s="371">
        <v>0</v>
      </c>
      <c r="R90" s="372"/>
      <c r="S90" s="373"/>
      <c r="T90" s="374"/>
      <c r="U90" s="375"/>
      <c r="V90" s="371">
        <v>0</v>
      </c>
      <c r="W90" s="372"/>
      <c r="X90" s="373"/>
      <c r="Y90" s="374"/>
      <c r="Z90" s="375"/>
      <c r="AA90" s="371">
        <v>0</v>
      </c>
      <c r="AB90" s="372"/>
      <c r="AC90" s="373"/>
      <c r="AD90" s="374"/>
      <c r="AE90" s="375"/>
      <c r="AF90" s="371">
        <v>0</v>
      </c>
      <c r="AG90" s="372"/>
      <c r="AH90" s="373"/>
      <c r="AI90" s="374"/>
      <c r="AJ90" s="375"/>
      <c r="AK90" s="371">
        <v>0</v>
      </c>
      <c r="AL90" s="372"/>
      <c r="AM90" s="373"/>
      <c r="AN90" s="374"/>
      <c r="AO90" s="375"/>
      <c r="AP90" s="371">
        <v>0</v>
      </c>
      <c r="AQ90" s="372"/>
      <c r="AR90" s="373"/>
      <c r="AS90" s="374"/>
      <c r="AT90" s="375"/>
      <c r="AU90" s="371">
        <v>0</v>
      </c>
      <c r="AV90" s="372"/>
      <c r="AW90" s="373"/>
      <c r="AX90" s="374"/>
      <c r="AY90" s="375"/>
      <c r="AZ90" s="371">
        <v>0</v>
      </c>
      <c r="BA90" s="372"/>
      <c r="BB90" s="373"/>
      <c r="BC90" s="374"/>
      <c r="BD90" s="375"/>
      <c r="BE90" s="371">
        <v>0</v>
      </c>
      <c r="BF90" s="372"/>
      <c r="BG90" s="373"/>
      <c r="BH90" s="374"/>
      <c r="BI90" s="375"/>
      <c r="BJ90" s="371">
        <v>0</v>
      </c>
      <c r="BK90" s="372"/>
      <c r="BL90" s="373"/>
      <c r="BM90" s="374"/>
      <c r="BN90" s="375"/>
      <c r="BO90" s="371">
        <v>0</v>
      </c>
      <c r="BP90" s="372"/>
      <c r="BQ90" s="373"/>
      <c r="BR90" s="374"/>
      <c r="BS90" s="375"/>
      <c r="BT90" s="371">
        <f>SUM(L90:BO90)</f>
        <v>0</v>
      </c>
      <c r="BU90" s="372"/>
      <c r="BV90" s="373"/>
      <c r="BW90" s="9"/>
      <c r="BZ90" s="10"/>
      <c r="CA90" s="10"/>
    </row>
    <row r="91" spans="3:79" ht="12.75" hidden="1" customHeight="1" x14ac:dyDescent="0.2">
      <c r="D91" s="9" t="s">
        <v>345</v>
      </c>
      <c r="E91" s="374"/>
      <c r="F91" s="156"/>
      <c r="G91" s="373">
        <v>0</v>
      </c>
      <c r="H91" s="377"/>
      <c r="I91" s="373"/>
      <c r="J91" s="374"/>
      <c r="K91" s="374"/>
      <c r="L91" s="373">
        <v>0</v>
      </c>
      <c r="M91" s="377"/>
      <c r="N91" s="373"/>
      <c r="O91" s="374"/>
      <c r="P91" s="374"/>
      <c r="Q91" s="373">
        <v>0</v>
      </c>
      <c r="R91" s="377"/>
      <c r="S91" s="373"/>
      <c r="T91" s="374"/>
      <c r="U91" s="374"/>
      <c r="V91" s="373">
        <v>0</v>
      </c>
      <c r="W91" s="377"/>
      <c r="X91" s="373"/>
      <c r="Y91" s="374"/>
      <c r="Z91" s="374"/>
      <c r="AA91" s="373">
        <v>0</v>
      </c>
      <c r="AB91" s="377"/>
      <c r="AC91" s="373"/>
      <c r="AD91" s="374"/>
      <c r="AE91" s="374"/>
      <c r="AF91" s="373">
        <v>0</v>
      </c>
      <c r="AG91" s="377"/>
      <c r="AH91" s="373"/>
      <c r="AI91" s="374"/>
      <c r="AJ91" s="374"/>
      <c r="AK91" s="373">
        <v>0</v>
      </c>
      <c r="AL91" s="377"/>
      <c r="AM91" s="373"/>
      <c r="AN91" s="374"/>
      <c r="AO91" s="374"/>
      <c r="AP91" s="373">
        <v>0</v>
      </c>
      <c r="AQ91" s="377"/>
      <c r="AR91" s="373"/>
      <c r="AS91" s="374"/>
      <c r="AT91" s="374"/>
      <c r="AU91" s="373">
        <v>0</v>
      </c>
      <c r="AV91" s="377"/>
      <c r="AW91" s="373"/>
      <c r="AX91" s="374"/>
      <c r="AY91" s="374"/>
      <c r="AZ91" s="373">
        <v>0</v>
      </c>
      <c r="BA91" s="377"/>
      <c r="BB91" s="373"/>
      <c r="BC91" s="374"/>
      <c r="BD91" s="374"/>
      <c r="BE91" s="373">
        <v>0</v>
      </c>
      <c r="BF91" s="377"/>
      <c r="BG91" s="373"/>
      <c r="BH91" s="374"/>
      <c r="BI91" s="374"/>
      <c r="BJ91" s="373">
        <v>0</v>
      </c>
      <c r="BK91" s="377"/>
      <c r="BL91" s="373"/>
      <c r="BM91" s="374"/>
      <c r="BN91" s="374"/>
      <c r="BO91" s="373">
        <v>0</v>
      </c>
      <c r="BP91" s="377"/>
      <c r="BQ91" s="373"/>
      <c r="BR91" s="374"/>
      <c r="BS91" s="374"/>
      <c r="BT91" s="373">
        <f>SUM(L91:BO91)</f>
        <v>0</v>
      </c>
      <c r="BU91" s="377"/>
      <c r="BV91" s="373"/>
      <c r="BW91" s="9"/>
      <c r="BZ91" s="10"/>
      <c r="CA91" s="10"/>
    </row>
    <row r="92" spans="3:79" ht="12.75" hidden="1" customHeight="1" x14ac:dyDescent="0.2">
      <c r="D92" s="9" t="s">
        <v>353</v>
      </c>
      <c r="E92" s="374"/>
      <c r="F92" s="320"/>
      <c r="G92" s="385">
        <v>0</v>
      </c>
      <c r="H92" s="386"/>
      <c r="I92" s="373"/>
      <c r="J92" s="374"/>
      <c r="K92" s="387"/>
      <c r="L92" s="385">
        <v>0</v>
      </c>
      <c r="M92" s="386"/>
      <c r="N92" s="373"/>
      <c r="O92" s="374"/>
      <c r="P92" s="387"/>
      <c r="Q92" s="385">
        <v>0</v>
      </c>
      <c r="R92" s="386"/>
      <c r="S92" s="373"/>
      <c r="T92" s="374"/>
      <c r="U92" s="387"/>
      <c r="V92" s="385">
        <v>0</v>
      </c>
      <c r="W92" s="386"/>
      <c r="X92" s="373"/>
      <c r="Y92" s="374"/>
      <c r="Z92" s="387"/>
      <c r="AA92" s="385">
        <v>0</v>
      </c>
      <c r="AB92" s="386"/>
      <c r="AC92" s="373"/>
      <c r="AD92" s="374"/>
      <c r="AE92" s="387"/>
      <c r="AF92" s="385">
        <v>0</v>
      </c>
      <c r="AG92" s="386"/>
      <c r="AH92" s="373"/>
      <c r="AI92" s="374"/>
      <c r="AJ92" s="387"/>
      <c r="AK92" s="385">
        <v>0</v>
      </c>
      <c r="AL92" s="386"/>
      <c r="AM92" s="373"/>
      <c r="AN92" s="374"/>
      <c r="AO92" s="387"/>
      <c r="AP92" s="385">
        <v>0</v>
      </c>
      <c r="AQ92" s="386"/>
      <c r="AR92" s="373"/>
      <c r="AS92" s="374"/>
      <c r="AT92" s="387"/>
      <c r="AU92" s="385">
        <v>0</v>
      </c>
      <c r="AV92" s="386"/>
      <c r="AW92" s="373"/>
      <c r="AX92" s="374"/>
      <c r="AY92" s="387"/>
      <c r="AZ92" s="385">
        <v>0</v>
      </c>
      <c r="BA92" s="386"/>
      <c r="BB92" s="373"/>
      <c r="BC92" s="374"/>
      <c r="BD92" s="387"/>
      <c r="BE92" s="385">
        <v>0</v>
      </c>
      <c r="BF92" s="386"/>
      <c r="BG92" s="373"/>
      <c r="BH92" s="374"/>
      <c r="BI92" s="387"/>
      <c r="BJ92" s="385">
        <v>0</v>
      </c>
      <c r="BK92" s="386"/>
      <c r="BL92" s="373"/>
      <c r="BM92" s="374"/>
      <c r="BN92" s="387"/>
      <c r="BO92" s="385">
        <v>0</v>
      </c>
      <c r="BP92" s="386"/>
      <c r="BQ92" s="373"/>
      <c r="BR92" s="374"/>
      <c r="BS92" s="387"/>
      <c r="BT92" s="385">
        <f>SUM(L92:BO92)</f>
        <v>0</v>
      </c>
      <c r="BU92" s="386"/>
      <c r="BV92" s="373"/>
      <c r="BW92" s="9"/>
      <c r="BZ92" s="10"/>
      <c r="CA92" s="10"/>
    </row>
    <row r="93" spans="3:79" ht="12.75" hidden="1" customHeight="1" x14ac:dyDescent="0.2">
      <c r="D93" s="9"/>
      <c r="E93" s="374"/>
      <c r="G93" s="373"/>
      <c r="H93" s="373"/>
      <c r="I93" s="373"/>
      <c r="J93" s="374"/>
      <c r="K93" s="373"/>
      <c r="L93" s="373"/>
      <c r="M93" s="373"/>
      <c r="N93" s="373"/>
      <c r="O93" s="374"/>
      <c r="P93" s="373"/>
      <c r="Q93" s="373"/>
      <c r="R93" s="373"/>
      <c r="S93" s="373"/>
      <c r="T93" s="374"/>
      <c r="U93" s="373"/>
      <c r="V93" s="373"/>
      <c r="W93" s="373"/>
      <c r="X93" s="373"/>
      <c r="Y93" s="374"/>
      <c r="Z93" s="373"/>
      <c r="AA93" s="373"/>
      <c r="AB93" s="373"/>
      <c r="AC93" s="373"/>
      <c r="AD93" s="374"/>
      <c r="AE93" s="373"/>
      <c r="AF93" s="373"/>
      <c r="AG93" s="373"/>
      <c r="AH93" s="373"/>
      <c r="AI93" s="374"/>
      <c r="AJ93" s="373"/>
      <c r="AK93" s="373"/>
      <c r="AL93" s="373"/>
      <c r="AM93" s="373"/>
      <c r="AN93" s="374"/>
      <c r="AO93" s="373"/>
      <c r="AP93" s="373"/>
      <c r="AQ93" s="373"/>
      <c r="AR93" s="373"/>
      <c r="AS93" s="374"/>
      <c r="AT93" s="373"/>
      <c r="AU93" s="373"/>
      <c r="AV93" s="373"/>
      <c r="AW93" s="373"/>
      <c r="AX93" s="374"/>
      <c r="AY93" s="373"/>
      <c r="AZ93" s="373"/>
      <c r="BA93" s="373"/>
      <c r="BB93" s="373"/>
      <c r="BC93" s="374"/>
      <c r="BD93" s="373"/>
      <c r="BE93" s="373"/>
      <c r="BF93" s="373"/>
      <c r="BG93" s="373"/>
      <c r="BH93" s="374"/>
      <c r="BI93" s="373"/>
      <c r="BJ93" s="373"/>
      <c r="BK93" s="373"/>
      <c r="BL93" s="373"/>
      <c r="BM93" s="374"/>
      <c r="BN93" s="373"/>
      <c r="BO93" s="373"/>
      <c r="BP93" s="373"/>
      <c r="BQ93" s="373"/>
      <c r="BR93" s="374"/>
      <c r="BS93" s="373"/>
      <c r="BT93" s="373"/>
      <c r="BU93" s="373"/>
      <c r="BV93" s="373"/>
      <c r="BW93" s="9"/>
      <c r="BZ93" s="10"/>
      <c r="CA93" s="10"/>
    </row>
    <row r="94" spans="3:79" ht="12.75" hidden="1" customHeight="1" x14ac:dyDescent="0.2">
      <c r="D94" s="9" t="s">
        <v>361</v>
      </c>
      <c r="E94" s="374"/>
      <c r="G94" s="373">
        <f>SUM(G95:G97)</f>
        <v>0</v>
      </c>
      <c r="H94" s="373"/>
      <c r="I94" s="373"/>
      <c r="J94" s="374"/>
      <c r="K94" s="373"/>
      <c r="L94" s="373">
        <f>SUM(L95:L97)</f>
        <v>0</v>
      </c>
      <c r="M94" s="373"/>
      <c r="N94" s="373"/>
      <c r="O94" s="374"/>
      <c r="P94" s="373"/>
      <c r="Q94" s="373">
        <f>SUM(Q95:Q97)</f>
        <v>0</v>
      </c>
      <c r="R94" s="373"/>
      <c r="S94" s="373"/>
      <c r="T94" s="374"/>
      <c r="U94" s="373"/>
      <c r="V94" s="373">
        <f>SUM(V95:V97)</f>
        <v>0</v>
      </c>
      <c r="W94" s="373"/>
      <c r="X94" s="373"/>
      <c r="Y94" s="374"/>
      <c r="Z94" s="373"/>
      <c r="AA94" s="373">
        <f>SUM(AA95:AA97)</f>
        <v>0</v>
      </c>
      <c r="AB94" s="373"/>
      <c r="AC94" s="373"/>
      <c r="AD94" s="374"/>
      <c r="AE94" s="373"/>
      <c r="AF94" s="373">
        <f>SUM(AF95:AF97)</f>
        <v>0</v>
      </c>
      <c r="AG94" s="373"/>
      <c r="AH94" s="373"/>
      <c r="AI94" s="374"/>
      <c r="AJ94" s="373"/>
      <c r="AK94" s="373">
        <f>SUM(AK95:AK97)</f>
        <v>0</v>
      </c>
      <c r="AL94" s="373"/>
      <c r="AM94" s="373"/>
      <c r="AN94" s="374"/>
      <c r="AO94" s="373"/>
      <c r="AP94" s="373">
        <f>SUM(AP95:AP97)</f>
        <v>0</v>
      </c>
      <c r="AQ94" s="373"/>
      <c r="AR94" s="373"/>
      <c r="AS94" s="374"/>
      <c r="AT94" s="373"/>
      <c r="AU94" s="373">
        <f>SUM(AU95:AU97)</f>
        <v>0</v>
      </c>
      <c r="AV94" s="373"/>
      <c r="AW94" s="373"/>
      <c r="AX94" s="374"/>
      <c r="AY94" s="373"/>
      <c r="AZ94" s="373">
        <f>SUM(AZ95:AZ97)</f>
        <v>0</v>
      </c>
      <c r="BA94" s="373"/>
      <c r="BB94" s="373"/>
      <c r="BC94" s="374"/>
      <c r="BD94" s="373"/>
      <c r="BE94" s="373">
        <f>SUM(BE95:BE97)</f>
        <v>0</v>
      </c>
      <c r="BF94" s="373"/>
      <c r="BG94" s="373"/>
      <c r="BH94" s="374"/>
      <c r="BI94" s="373"/>
      <c r="BJ94" s="373">
        <f>SUM(BJ95:BJ97)</f>
        <v>0</v>
      </c>
      <c r="BK94" s="373"/>
      <c r="BL94" s="373"/>
      <c r="BM94" s="374"/>
      <c r="BN94" s="373"/>
      <c r="BO94" s="373">
        <f>SUM(BO95:BO97)</f>
        <v>0</v>
      </c>
      <c r="BP94" s="373"/>
      <c r="BQ94" s="373"/>
      <c r="BR94" s="374"/>
      <c r="BS94" s="373"/>
      <c r="BT94" s="373">
        <f>SUM(BT95:BT97)</f>
        <v>0</v>
      </c>
      <c r="BU94" s="373"/>
      <c r="BV94" s="373"/>
      <c r="BW94" s="9"/>
      <c r="BZ94" s="10"/>
      <c r="CA94" s="10"/>
    </row>
    <row r="95" spans="3:79" ht="12.75" hidden="1" customHeight="1" x14ac:dyDescent="0.2">
      <c r="D95" s="9" t="s">
        <v>343</v>
      </c>
      <c r="E95" s="374"/>
      <c r="F95" s="309"/>
      <c r="G95" s="371">
        <v>0</v>
      </c>
      <c r="H95" s="372"/>
      <c r="I95" s="373"/>
      <c r="J95" s="374"/>
      <c r="K95" s="375"/>
      <c r="L95" s="371">
        <v>0</v>
      </c>
      <c r="M95" s="372"/>
      <c r="N95" s="373"/>
      <c r="O95" s="374"/>
      <c r="P95" s="375"/>
      <c r="Q95" s="371">
        <v>0</v>
      </c>
      <c r="R95" s="372"/>
      <c r="S95" s="373"/>
      <c r="T95" s="374"/>
      <c r="U95" s="375"/>
      <c r="V95" s="371">
        <v>0</v>
      </c>
      <c r="W95" s="372"/>
      <c r="X95" s="373"/>
      <c r="Y95" s="374"/>
      <c r="Z95" s="375"/>
      <c r="AA95" s="371">
        <v>0</v>
      </c>
      <c r="AB95" s="372"/>
      <c r="AC95" s="373"/>
      <c r="AD95" s="374"/>
      <c r="AE95" s="375"/>
      <c r="AF95" s="371">
        <v>0</v>
      </c>
      <c r="AG95" s="372"/>
      <c r="AH95" s="373"/>
      <c r="AI95" s="374"/>
      <c r="AJ95" s="375"/>
      <c r="AK95" s="371">
        <v>0</v>
      </c>
      <c r="AL95" s="372"/>
      <c r="AM95" s="373"/>
      <c r="AN95" s="374"/>
      <c r="AO95" s="375"/>
      <c r="AP95" s="371">
        <v>0</v>
      </c>
      <c r="AQ95" s="372"/>
      <c r="AR95" s="373"/>
      <c r="AS95" s="374"/>
      <c r="AT95" s="375"/>
      <c r="AU95" s="371">
        <v>0</v>
      </c>
      <c r="AV95" s="372"/>
      <c r="AW95" s="373"/>
      <c r="AX95" s="374"/>
      <c r="AY95" s="375"/>
      <c r="AZ95" s="371">
        <v>0</v>
      </c>
      <c r="BA95" s="372"/>
      <c r="BB95" s="373"/>
      <c r="BC95" s="374"/>
      <c r="BD95" s="375"/>
      <c r="BE95" s="371">
        <v>0</v>
      </c>
      <c r="BF95" s="372"/>
      <c r="BG95" s="373"/>
      <c r="BH95" s="374"/>
      <c r="BI95" s="375"/>
      <c r="BJ95" s="371">
        <v>0</v>
      </c>
      <c r="BK95" s="372"/>
      <c r="BL95" s="373"/>
      <c r="BM95" s="374"/>
      <c r="BN95" s="375"/>
      <c r="BO95" s="371">
        <v>0</v>
      </c>
      <c r="BP95" s="372"/>
      <c r="BQ95" s="373"/>
      <c r="BR95" s="374"/>
      <c r="BS95" s="375"/>
      <c r="BT95" s="371">
        <f>SUM(L95:BO95)</f>
        <v>0</v>
      </c>
      <c r="BU95" s="372"/>
      <c r="BV95" s="373"/>
      <c r="BW95" s="9"/>
      <c r="BZ95" s="10"/>
      <c r="CA95" s="10"/>
    </row>
    <row r="96" spans="3:79" ht="12.75" hidden="1" customHeight="1" x14ac:dyDescent="0.2">
      <c r="D96" s="9" t="s">
        <v>345</v>
      </c>
      <c r="E96" s="374"/>
      <c r="F96" s="156"/>
      <c r="G96" s="373">
        <v>0</v>
      </c>
      <c r="H96" s="377"/>
      <c r="I96" s="373"/>
      <c r="J96" s="374"/>
      <c r="K96" s="374"/>
      <c r="L96" s="373">
        <v>0</v>
      </c>
      <c r="M96" s="377"/>
      <c r="N96" s="373"/>
      <c r="O96" s="374"/>
      <c r="P96" s="374"/>
      <c r="Q96" s="373">
        <v>0</v>
      </c>
      <c r="R96" s="377"/>
      <c r="S96" s="373"/>
      <c r="T96" s="374"/>
      <c r="U96" s="374"/>
      <c r="V96" s="373">
        <v>0</v>
      </c>
      <c r="W96" s="377"/>
      <c r="X96" s="373"/>
      <c r="Y96" s="374"/>
      <c r="Z96" s="374"/>
      <c r="AA96" s="373">
        <v>0</v>
      </c>
      <c r="AB96" s="377"/>
      <c r="AC96" s="373"/>
      <c r="AD96" s="374"/>
      <c r="AE96" s="374"/>
      <c r="AF96" s="373">
        <v>0</v>
      </c>
      <c r="AG96" s="377"/>
      <c r="AH96" s="373"/>
      <c r="AI96" s="374"/>
      <c r="AJ96" s="374"/>
      <c r="AK96" s="373">
        <v>0</v>
      </c>
      <c r="AL96" s="377"/>
      <c r="AM96" s="373"/>
      <c r="AN96" s="374"/>
      <c r="AO96" s="374"/>
      <c r="AP96" s="373">
        <v>0</v>
      </c>
      <c r="AQ96" s="377"/>
      <c r="AR96" s="373"/>
      <c r="AS96" s="374"/>
      <c r="AT96" s="374"/>
      <c r="AU96" s="373">
        <v>0</v>
      </c>
      <c r="AV96" s="377"/>
      <c r="AW96" s="373"/>
      <c r="AX96" s="374"/>
      <c r="AY96" s="374"/>
      <c r="AZ96" s="373">
        <v>0</v>
      </c>
      <c r="BA96" s="377"/>
      <c r="BB96" s="373"/>
      <c r="BC96" s="374"/>
      <c r="BD96" s="374"/>
      <c r="BE96" s="373">
        <v>0</v>
      </c>
      <c r="BF96" s="377"/>
      <c r="BG96" s="373"/>
      <c r="BH96" s="374"/>
      <c r="BI96" s="374"/>
      <c r="BJ96" s="373">
        <v>0</v>
      </c>
      <c r="BK96" s="377"/>
      <c r="BL96" s="373"/>
      <c r="BM96" s="374"/>
      <c r="BN96" s="374"/>
      <c r="BO96" s="373">
        <v>0</v>
      </c>
      <c r="BP96" s="377"/>
      <c r="BQ96" s="373"/>
      <c r="BR96" s="374"/>
      <c r="BS96" s="374"/>
      <c r="BT96" s="373">
        <f>SUM(L96:BO96)</f>
        <v>0</v>
      </c>
      <c r="BU96" s="377"/>
      <c r="BV96" s="373"/>
      <c r="BW96" s="9"/>
      <c r="BZ96" s="10"/>
      <c r="CA96" s="10"/>
    </row>
    <row r="97" spans="4:79" ht="12.75" hidden="1" customHeight="1" x14ac:dyDescent="0.2">
      <c r="D97" s="9" t="s">
        <v>353</v>
      </c>
      <c r="E97" s="374"/>
      <c r="F97" s="320"/>
      <c r="G97" s="385">
        <v>0</v>
      </c>
      <c r="H97" s="386"/>
      <c r="I97" s="373"/>
      <c r="J97" s="374"/>
      <c r="K97" s="387"/>
      <c r="L97" s="385">
        <v>0</v>
      </c>
      <c r="M97" s="386"/>
      <c r="N97" s="373"/>
      <c r="O97" s="374"/>
      <c r="P97" s="387"/>
      <c r="Q97" s="385">
        <v>0</v>
      </c>
      <c r="R97" s="386"/>
      <c r="S97" s="373"/>
      <c r="T97" s="374"/>
      <c r="U97" s="387"/>
      <c r="V97" s="385">
        <v>0</v>
      </c>
      <c r="W97" s="386"/>
      <c r="X97" s="373"/>
      <c r="Y97" s="374"/>
      <c r="Z97" s="387"/>
      <c r="AA97" s="385">
        <v>0</v>
      </c>
      <c r="AB97" s="386"/>
      <c r="AC97" s="373"/>
      <c r="AD97" s="374"/>
      <c r="AE97" s="387"/>
      <c r="AF97" s="385">
        <v>0</v>
      </c>
      <c r="AG97" s="386"/>
      <c r="AH97" s="373"/>
      <c r="AI97" s="374"/>
      <c r="AJ97" s="387"/>
      <c r="AK97" s="385">
        <v>0</v>
      </c>
      <c r="AL97" s="386"/>
      <c r="AM97" s="373"/>
      <c r="AN97" s="374"/>
      <c r="AO97" s="387"/>
      <c r="AP97" s="385">
        <v>0</v>
      </c>
      <c r="AQ97" s="386"/>
      <c r="AR97" s="373"/>
      <c r="AS97" s="374"/>
      <c r="AT97" s="387"/>
      <c r="AU97" s="385">
        <v>0</v>
      </c>
      <c r="AV97" s="386"/>
      <c r="AW97" s="373"/>
      <c r="AX97" s="374"/>
      <c r="AY97" s="387"/>
      <c r="AZ97" s="385">
        <v>0</v>
      </c>
      <c r="BA97" s="386"/>
      <c r="BB97" s="373"/>
      <c r="BC97" s="374"/>
      <c r="BD97" s="387"/>
      <c r="BE97" s="385">
        <v>0</v>
      </c>
      <c r="BF97" s="386"/>
      <c r="BG97" s="373"/>
      <c r="BH97" s="374"/>
      <c r="BI97" s="387"/>
      <c r="BJ97" s="385">
        <v>0</v>
      </c>
      <c r="BK97" s="386"/>
      <c r="BL97" s="373"/>
      <c r="BM97" s="374"/>
      <c r="BN97" s="387"/>
      <c r="BO97" s="385">
        <v>0</v>
      </c>
      <c r="BP97" s="386"/>
      <c r="BQ97" s="373"/>
      <c r="BR97" s="374"/>
      <c r="BS97" s="387"/>
      <c r="BT97" s="385">
        <f>SUM(L97:BO97)</f>
        <v>0</v>
      </c>
      <c r="BU97" s="386"/>
      <c r="BV97" s="373"/>
      <c r="BW97" s="9"/>
      <c r="BZ97" s="10"/>
      <c r="CA97" s="10"/>
    </row>
    <row r="98" spans="4:79" ht="12.75" hidden="1" customHeight="1" x14ac:dyDescent="0.2">
      <c r="D98" s="9"/>
      <c r="E98" s="374"/>
      <c r="G98" s="373"/>
      <c r="H98" s="373"/>
      <c r="I98" s="373"/>
      <c r="J98" s="374"/>
      <c r="K98" s="373"/>
      <c r="L98" s="373"/>
      <c r="M98" s="373"/>
      <c r="N98" s="373"/>
      <c r="O98" s="374"/>
      <c r="P98" s="373"/>
      <c r="Q98" s="373"/>
      <c r="R98" s="373"/>
      <c r="S98" s="373"/>
      <c r="T98" s="374"/>
      <c r="U98" s="373"/>
      <c r="V98" s="373"/>
      <c r="W98" s="373"/>
      <c r="X98" s="373"/>
      <c r="Y98" s="374"/>
      <c r="Z98" s="373"/>
      <c r="AA98" s="373"/>
      <c r="AB98" s="373"/>
      <c r="AC98" s="373"/>
      <c r="AD98" s="374"/>
      <c r="AE98" s="373"/>
      <c r="AF98" s="373"/>
      <c r="AG98" s="373"/>
      <c r="AH98" s="373"/>
      <c r="AI98" s="374"/>
      <c r="AJ98" s="373"/>
      <c r="AK98" s="373"/>
      <c r="AL98" s="373"/>
      <c r="AM98" s="373"/>
      <c r="AN98" s="374"/>
      <c r="AO98" s="373"/>
      <c r="AP98" s="373"/>
      <c r="AQ98" s="373"/>
      <c r="AR98" s="373"/>
      <c r="AS98" s="374"/>
      <c r="AT98" s="373"/>
      <c r="AU98" s="373"/>
      <c r="AV98" s="373"/>
      <c r="AW98" s="373"/>
      <c r="AX98" s="374"/>
      <c r="AY98" s="373"/>
      <c r="AZ98" s="373"/>
      <c r="BA98" s="373"/>
      <c r="BB98" s="373"/>
      <c r="BC98" s="374"/>
      <c r="BD98" s="373"/>
      <c r="BE98" s="373"/>
      <c r="BF98" s="373"/>
      <c r="BG98" s="373"/>
      <c r="BH98" s="374"/>
      <c r="BI98" s="373"/>
      <c r="BJ98" s="373"/>
      <c r="BK98" s="373"/>
      <c r="BL98" s="373"/>
      <c r="BM98" s="374"/>
      <c r="BN98" s="373"/>
      <c r="BO98" s="373"/>
      <c r="BP98" s="373"/>
      <c r="BQ98" s="373"/>
      <c r="BR98" s="374"/>
      <c r="BS98" s="385"/>
      <c r="BT98" s="373"/>
      <c r="BU98" s="373"/>
      <c r="BV98" s="373"/>
      <c r="BW98" s="9"/>
      <c r="BZ98" s="10"/>
      <c r="CA98" s="10"/>
    </row>
    <row r="99" spans="4:79" ht="12.75" hidden="1" customHeight="1" x14ac:dyDescent="0.2">
      <c r="D99" s="9" t="s">
        <v>362</v>
      </c>
      <c r="E99" s="374"/>
      <c r="G99" s="373">
        <f>SUM(G100:G102)</f>
        <v>0</v>
      </c>
      <c r="H99" s="373"/>
      <c r="I99" s="373"/>
      <c r="J99" s="374"/>
      <c r="K99" s="373"/>
      <c r="L99" s="373">
        <f>SUM(L100:L102)</f>
        <v>0</v>
      </c>
      <c r="M99" s="373"/>
      <c r="N99" s="373"/>
      <c r="O99" s="374"/>
      <c r="P99" s="373"/>
      <c r="Q99" s="373">
        <f>SUM(Q100:Q102)</f>
        <v>0</v>
      </c>
      <c r="R99" s="373"/>
      <c r="S99" s="373"/>
      <c r="T99" s="374"/>
      <c r="U99" s="373"/>
      <c r="V99" s="373">
        <f>SUM(V100:V102)</f>
        <v>0</v>
      </c>
      <c r="W99" s="373"/>
      <c r="X99" s="373"/>
      <c r="Y99" s="374"/>
      <c r="Z99" s="373"/>
      <c r="AA99" s="373">
        <f>SUM(AA100:AA102)</f>
        <v>0</v>
      </c>
      <c r="AB99" s="373"/>
      <c r="AC99" s="373"/>
      <c r="AD99" s="374"/>
      <c r="AE99" s="373"/>
      <c r="AF99" s="373">
        <f>SUM(AF100:AF102)</f>
        <v>0</v>
      </c>
      <c r="AG99" s="373"/>
      <c r="AH99" s="373"/>
      <c r="AI99" s="374"/>
      <c r="AJ99" s="373"/>
      <c r="AK99" s="373">
        <f>SUM(AK100:AK102)</f>
        <v>0</v>
      </c>
      <c r="AL99" s="373"/>
      <c r="AM99" s="373"/>
      <c r="AN99" s="374"/>
      <c r="AO99" s="373"/>
      <c r="AP99" s="373">
        <f>SUM(AP100:AP102)</f>
        <v>0</v>
      </c>
      <c r="AQ99" s="373"/>
      <c r="AR99" s="373"/>
      <c r="AS99" s="374"/>
      <c r="AT99" s="373"/>
      <c r="AU99" s="373">
        <f>SUM(AU100:AU102)</f>
        <v>0</v>
      </c>
      <c r="AV99" s="373"/>
      <c r="AW99" s="373"/>
      <c r="AX99" s="374"/>
      <c r="AY99" s="373"/>
      <c r="AZ99" s="373">
        <f>SUM(AZ100:AZ102)</f>
        <v>0</v>
      </c>
      <c r="BA99" s="373"/>
      <c r="BB99" s="373"/>
      <c r="BC99" s="374"/>
      <c r="BD99" s="373"/>
      <c r="BE99" s="373">
        <f>SUM(BE100:BE102)</f>
        <v>0</v>
      </c>
      <c r="BF99" s="373"/>
      <c r="BG99" s="373"/>
      <c r="BH99" s="374"/>
      <c r="BI99" s="373"/>
      <c r="BJ99" s="373">
        <f>SUM(BJ100:BJ102)</f>
        <v>0</v>
      </c>
      <c r="BK99" s="373"/>
      <c r="BL99" s="373"/>
      <c r="BM99" s="374"/>
      <c r="BN99" s="373"/>
      <c r="BO99" s="373">
        <f>SUM(BO100:BO102)</f>
        <v>0</v>
      </c>
      <c r="BP99" s="373"/>
      <c r="BQ99" s="373"/>
      <c r="BR99" s="374"/>
      <c r="BS99" s="385"/>
      <c r="BT99" s="385">
        <f>SUM(BT100:BT102)</f>
        <v>0</v>
      </c>
      <c r="BU99" s="373"/>
      <c r="BV99" s="373"/>
      <c r="BW99" s="9"/>
      <c r="BZ99" s="10"/>
      <c r="CA99" s="10"/>
    </row>
    <row r="100" spans="4:79" ht="12.75" hidden="1" customHeight="1" x14ac:dyDescent="0.2">
      <c r="D100" s="9" t="s">
        <v>343</v>
      </c>
      <c r="E100" s="374"/>
      <c r="F100" s="309"/>
      <c r="G100" s="371">
        <v>0</v>
      </c>
      <c r="H100" s="372"/>
      <c r="I100" s="373"/>
      <c r="J100" s="374"/>
      <c r="K100" s="375"/>
      <c r="L100" s="371">
        <v>0</v>
      </c>
      <c r="M100" s="372"/>
      <c r="N100" s="373"/>
      <c r="O100" s="374"/>
      <c r="P100" s="375"/>
      <c r="Q100" s="371">
        <v>0</v>
      </c>
      <c r="R100" s="372"/>
      <c r="S100" s="373"/>
      <c r="T100" s="374"/>
      <c r="U100" s="375"/>
      <c r="V100" s="371">
        <v>0</v>
      </c>
      <c r="W100" s="372"/>
      <c r="X100" s="373"/>
      <c r="Y100" s="374"/>
      <c r="Z100" s="375"/>
      <c r="AA100" s="371">
        <v>0</v>
      </c>
      <c r="AB100" s="372"/>
      <c r="AC100" s="373"/>
      <c r="AD100" s="374"/>
      <c r="AE100" s="375"/>
      <c r="AF100" s="371">
        <v>0</v>
      </c>
      <c r="AG100" s="372"/>
      <c r="AH100" s="373"/>
      <c r="AI100" s="374"/>
      <c r="AJ100" s="375"/>
      <c r="AK100" s="371">
        <v>0</v>
      </c>
      <c r="AL100" s="372"/>
      <c r="AM100" s="373"/>
      <c r="AN100" s="374"/>
      <c r="AO100" s="375"/>
      <c r="AP100" s="371">
        <v>0</v>
      </c>
      <c r="AQ100" s="372"/>
      <c r="AR100" s="373"/>
      <c r="AS100" s="374"/>
      <c r="AT100" s="375"/>
      <c r="AU100" s="371">
        <v>0</v>
      </c>
      <c r="AV100" s="372"/>
      <c r="AW100" s="373"/>
      <c r="AX100" s="374"/>
      <c r="AY100" s="375"/>
      <c r="AZ100" s="371">
        <v>0</v>
      </c>
      <c r="BA100" s="372"/>
      <c r="BB100" s="373"/>
      <c r="BC100" s="374"/>
      <c r="BD100" s="375"/>
      <c r="BE100" s="371">
        <v>0</v>
      </c>
      <c r="BF100" s="372"/>
      <c r="BG100" s="373"/>
      <c r="BH100" s="374"/>
      <c r="BI100" s="375"/>
      <c r="BJ100" s="371">
        <v>0</v>
      </c>
      <c r="BK100" s="372"/>
      <c r="BL100" s="373"/>
      <c r="BM100" s="374"/>
      <c r="BN100" s="375"/>
      <c r="BO100" s="371">
        <v>0</v>
      </c>
      <c r="BP100" s="372"/>
      <c r="BQ100" s="373"/>
      <c r="BR100" s="374"/>
      <c r="BS100" s="374"/>
      <c r="BT100" s="373">
        <f>SUM(L100:BO100)</f>
        <v>0</v>
      </c>
      <c r="BU100" s="372"/>
      <c r="BV100" s="373"/>
      <c r="BW100" s="9"/>
      <c r="BZ100" s="10"/>
      <c r="CA100" s="10"/>
    </row>
    <row r="101" spans="4:79" ht="12.75" hidden="1" customHeight="1" x14ac:dyDescent="0.2">
      <c r="D101" s="9" t="s">
        <v>345</v>
      </c>
      <c r="E101" s="374"/>
      <c r="F101" s="156"/>
      <c r="G101" s="373">
        <v>0</v>
      </c>
      <c r="H101" s="377"/>
      <c r="I101" s="373"/>
      <c r="J101" s="374"/>
      <c r="K101" s="374"/>
      <c r="L101" s="373">
        <v>0</v>
      </c>
      <c r="M101" s="377"/>
      <c r="N101" s="373"/>
      <c r="O101" s="374"/>
      <c r="P101" s="374"/>
      <c r="Q101" s="373">
        <v>0</v>
      </c>
      <c r="R101" s="377"/>
      <c r="S101" s="373"/>
      <c r="T101" s="374"/>
      <c r="U101" s="374"/>
      <c r="V101" s="373">
        <v>0</v>
      </c>
      <c r="W101" s="377"/>
      <c r="X101" s="373"/>
      <c r="Y101" s="374"/>
      <c r="Z101" s="374"/>
      <c r="AA101" s="373">
        <v>0</v>
      </c>
      <c r="AB101" s="377"/>
      <c r="AC101" s="373"/>
      <c r="AD101" s="374"/>
      <c r="AE101" s="374"/>
      <c r="AF101" s="373">
        <v>0</v>
      </c>
      <c r="AG101" s="377"/>
      <c r="AH101" s="373"/>
      <c r="AI101" s="374"/>
      <c r="AJ101" s="374"/>
      <c r="AK101" s="373">
        <v>0</v>
      </c>
      <c r="AL101" s="377"/>
      <c r="AM101" s="373"/>
      <c r="AN101" s="374"/>
      <c r="AO101" s="374"/>
      <c r="AP101" s="373">
        <v>0</v>
      </c>
      <c r="AQ101" s="377"/>
      <c r="AR101" s="373"/>
      <c r="AS101" s="374"/>
      <c r="AT101" s="374"/>
      <c r="AU101" s="373">
        <v>0</v>
      </c>
      <c r="AV101" s="377"/>
      <c r="AW101" s="373"/>
      <c r="AX101" s="374"/>
      <c r="AY101" s="374"/>
      <c r="AZ101" s="373">
        <v>0</v>
      </c>
      <c r="BA101" s="377"/>
      <c r="BB101" s="373"/>
      <c r="BC101" s="374"/>
      <c r="BD101" s="374"/>
      <c r="BE101" s="373">
        <v>0</v>
      </c>
      <c r="BF101" s="377"/>
      <c r="BG101" s="373"/>
      <c r="BH101" s="374"/>
      <c r="BI101" s="374"/>
      <c r="BJ101" s="373">
        <v>0</v>
      </c>
      <c r="BK101" s="377"/>
      <c r="BL101" s="373"/>
      <c r="BM101" s="374"/>
      <c r="BN101" s="374"/>
      <c r="BO101" s="373">
        <v>0</v>
      </c>
      <c r="BP101" s="377"/>
      <c r="BQ101" s="373"/>
      <c r="BR101" s="374"/>
      <c r="BS101" s="374"/>
      <c r="BT101" s="373">
        <f>SUM(L101:BO101)</f>
        <v>0</v>
      </c>
      <c r="BU101" s="377"/>
      <c r="BV101" s="373"/>
      <c r="BW101" s="9"/>
      <c r="BZ101" s="10"/>
      <c r="CA101" s="10"/>
    </row>
    <row r="102" spans="4:79" ht="12.75" hidden="1" customHeight="1" x14ac:dyDescent="0.2">
      <c r="D102" s="9" t="s">
        <v>353</v>
      </c>
      <c r="E102" s="374"/>
      <c r="F102" s="320"/>
      <c r="G102" s="385">
        <v>0</v>
      </c>
      <c r="H102" s="386"/>
      <c r="I102" s="373"/>
      <c r="J102" s="374"/>
      <c r="K102" s="387"/>
      <c r="L102" s="385">
        <v>0</v>
      </c>
      <c r="M102" s="386"/>
      <c r="N102" s="373"/>
      <c r="O102" s="374"/>
      <c r="P102" s="387"/>
      <c r="Q102" s="385">
        <v>0</v>
      </c>
      <c r="R102" s="386"/>
      <c r="S102" s="373"/>
      <c r="T102" s="374"/>
      <c r="U102" s="387"/>
      <c r="V102" s="385">
        <v>0</v>
      </c>
      <c r="W102" s="386"/>
      <c r="X102" s="373"/>
      <c r="Y102" s="374"/>
      <c r="Z102" s="387"/>
      <c r="AA102" s="385">
        <v>0</v>
      </c>
      <c r="AB102" s="386"/>
      <c r="AC102" s="373"/>
      <c r="AD102" s="374"/>
      <c r="AE102" s="387"/>
      <c r="AF102" s="385">
        <v>0</v>
      </c>
      <c r="AG102" s="386"/>
      <c r="AH102" s="373"/>
      <c r="AI102" s="374"/>
      <c r="AJ102" s="387"/>
      <c r="AK102" s="385">
        <v>0</v>
      </c>
      <c r="AL102" s="386"/>
      <c r="AM102" s="373"/>
      <c r="AN102" s="374"/>
      <c r="AO102" s="387"/>
      <c r="AP102" s="385">
        <v>0</v>
      </c>
      <c r="AQ102" s="386"/>
      <c r="AR102" s="373"/>
      <c r="AS102" s="374"/>
      <c r="AT102" s="387"/>
      <c r="AU102" s="385">
        <v>0</v>
      </c>
      <c r="AV102" s="386"/>
      <c r="AW102" s="373"/>
      <c r="AX102" s="374"/>
      <c r="AY102" s="387"/>
      <c r="AZ102" s="385">
        <v>0</v>
      </c>
      <c r="BA102" s="386"/>
      <c r="BB102" s="373"/>
      <c r="BC102" s="374"/>
      <c r="BD102" s="387"/>
      <c r="BE102" s="385">
        <v>0</v>
      </c>
      <c r="BF102" s="386"/>
      <c r="BG102" s="373"/>
      <c r="BH102" s="374"/>
      <c r="BI102" s="387"/>
      <c r="BJ102" s="385">
        <v>0</v>
      </c>
      <c r="BK102" s="386"/>
      <c r="BL102" s="373"/>
      <c r="BM102" s="374"/>
      <c r="BN102" s="387"/>
      <c r="BO102" s="385">
        <v>0</v>
      </c>
      <c r="BP102" s="386"/>
      <c r="BQ102" s="373"/>
      <c r="BR102" s="374"/>
      <c r="BS102" s="387"/>
      <c r="BT102" s="385">
        <f>SUM(L102:BO102)</f>
        <v>0</v>
      </c>
      <c r="BU102" s="386"/>
      <c r="BV102" s="373"/>
      <c r="BW102" s="9"/>
      <c r="BZ102" s="10"/>
      <c r="CA102" s="10"/>
    </row>
    <row r="103" spans="4:79" ht="12.75" hidden="1" customHeight="1" x14ac:dyDescent="0.2">
      <c r="D103" s="9"/>
      <c r="E103" s="374"/>
      <c r="G103" s="373"/>
      <c r="H103" s="373"/>
      <c r="I103" s="373"/>
      <c r="J103" s="374"/>
      <c r="K103" s="373"/>
      <c r="L103" s="373"/>
      <c r="M103" s="373"/>
      <c r="N103" s="373"/>
      <c r="O103" s="374"/>
      <c r="P103" s="373"/>
      <c r="Q103" s="373"/>
      <c r="R103" s="373"/>
      <c r="S103" s="373"/>
      <c r="T103" s="374"/>
      <c r="U103" s="373"/>
      <c r="V103" s="373"/>
      <c r="W103" s="373"/>
      <c r="X103" s="373"/>
      <c r="Y103" s="374"/>
      <c r="Z103" s="373"/>
      <c r="AA103" s="373"/>
      <c r="AB103" s="373"/>
      <c r="AC103" s="373"/>
      <c r="AD103" s="374"/>
      <c r="AE103" s="373"/>
      <c r="AF103" s="373"/>
      <c r="AG103" s="373"/>
      <c r="AH103" s="373"/>
      <c r="AI103" s="374"/>
      <c r="AJ103" s="373"/>
      <c r="AK103" s="373"/>
      <c r="AL103" s="373"/>
      <c r="AM103" s="373"/>
      <c r="AN103" s="374"/>
      <c r="AO103" s="373"/>
      <c r="AP103" s="373"/>
      <c r="AQ103" s="373"/>
      <c r="AR103" s="373"/>
      <c r="AS103" s="374"/>
      <c r="AT103" s="373"/>
      <c r="AU103" s="373"/>
      <c r="AV103" s="373"/>
      <c r="AW103" s="373"/>
      <c r="AX103" s="374"/>
      <c r="AY103" s="373"/>
      <c r="AZ103" s="373"/>
      <c r="BA103" s="373"/>
      <c r="BB103" s="373"/>
      <c r="BC103" s="374"/>
      <c r="BD103" s="373"/>
      <c r="BE103" s="373"/>
      <c r="BF103" s="373"/>
      <c r="BG103" s="373"/>
      <c r="BH103" s="374"/>
      <c r="BI103" s="373"/>
      <c r="BJ103" s="373"/>
      <c r="BK103" s="373"/>
      <c r="BL103" s="373"/>
      <c r="BM103" s="374"/>
      <c r="BN103" s="373"/>
      <c r="BO103" s="373"/>
      <c r="BP103" s="373"/>
      <c r="BQ103" s="373"/>
      <c r="BR103" s="374"/>
      <c r="BS103" s="373"/>
      <c r="BT103" s="373"/>
      <c r="BU103" s="373"/>
      <c r="BV103" s="373"/>
      <c r="BW103" s="9"/>
      <c r="BZ103" s="10"/>
      <c r="CA103" s="10"/>
    </row>
    <row r="104" spans="4:79" ht="12.75" hidden="1" customHeight="1" x14ac:dyDescent="0.2">
      <c r="D104" s="9" t="s">
        <v>363</v>
      </c>
      <c r="E104" s="374"/>
      <c r="G104" s="373">
        <f>SUM(G105:G107)</f>
        <v>0</v>
      </c>
      <c r="H104" s="373"/>
      <c r="I104" s="373"/>
      <c r="J104" s="374"/>
      <c r="K104" s="373"/>
      <c r="L104" s="373">
        <f>SUM(L105:L107)</f>
        <v>0</v>
      </c>
      <c r="M104" s="373"/>
      <c r="N104" s="373"/>
      <c r="O104" s="374"/>
      <c r="P104" s="373"/>
      <c r="Q104" s="373">
        <f>SUM(Q105:Q107)</f>
        <v>0</v>
      </c>
      <c r="R104" s="373"/>
      <c r="S104" s="373"/>
      <c r="T104" s="374"/>
      <c r="U104" s="373"/>
      <c r="V104" s="373">
        <f>SUM(V105:V107)</f>
        <v>0</v>
      </c>
      <c r="W104" s="373"/>
      <c r="X104" s="373"/>
      <c r="Y104" s="374"/>
      <c r="Z104" s="373"/>
      <c r="AA104" s="373">
        <f>SUM(AA105:AA107)</f>
        <v>0</v>
      </c>
      <c r="AB104" s="373"/>
      <c r="AC104" s="373"/>
      <c r="AD104" s="374"/>
      <c r="AE104" s="373"/>
      <c r="AF104" s="373">
        <f>SUM(AF105:AF107)</f>
        <v>0</v>
      </c>
      <c r="AG104" s="373"/>
      <c r="AH104" s="373"/>
      <c r="AI104" s="374"/>
      <c r="AJ104" s="373"/>
      <c r="AK104" s="373">
        <f>SUM(AK105:AK107)</f>
        <v>0</v>
      </c>
      <c r="AL104" s="373"/>
      <c r="AM104" s="373"/>
      <c r="AN104" s="374"/>
      <c r="AO104" s="373"/>
      <c r="AP104" s="373">
        <f>SUM(AP105:AP107)</f>
        <v>0</v>
      </c>
      <c r="AQ104" s="373"/>
      <c r="AR104" s="373"/>
      <c r="AS104" s="374"/>
      <c r="AT104" s="373"/>
      <c r="AU104" s="373">
        <f>SUM(AU105:AU107)</f>
        <v>0</v>
      </c>
      <c r="AV104" s="373"/>
      <c r="AW104" s="373"/>
      <c r="AX104" s="374"/>
      <c r="AY104" s="373"/>
      <c r="AZ104" s="373">
        <f>SUM(AZ105:AZ107)</f>
        <v>0</v>
      </c>
      <c r="BA104" s="373"/>
      <c r="BB104" s="373"/>
      <c r="BC104" s="374"/>
      <c r="BD104" s="373"/>
      <c r="BE104" s="373">
        <f>SUM(BE105:BE107)</f>
        <v>0</v>
      </c>
      <c r="BF104" s="373"/>
      <c r="BG104" s="373"/>
      <c r="BH104" s="374"/>
      <c r="BI104" s="373"/>
      <c r="BJ104" s="373">
        <f>SUM(BJ105:BJ107)</f>
        <v>0</v>
      </c>
      <c r="BK104" s="373"/>
      <c r="BL104" s="373"/>
      <c r="BM104" s="374"/>
      <c r="BN104" s="373"/>
      <c r="BO104" s="373">
        <f>SUM(BO105:BO107)</f>
        <v>0</v>
      </c>
      <c r="BP104" s="373"/>
      <c r="BQ104" s="373"/>
      <c r="BR104" s="374"/>
      <c r="BS104" s="373"/>
      <c r="BT104" s="373">
        <f>SUM(BT105:BT107)</f>
        <v>0</v>
      </c>
      <c r="BU104" s="373"/>
      <c r="BV104" s="373"/>
      <c r="BW104" s="9"/>
      <c r="BZ104" s="10"/>
      <c r="CA104" s="10"/>
    </row>
    <row r="105" spans="4:79" ht="12.75" hidden="1" customHeight="1" x14ac:dyDescent="0.2">
      <c r="D105" s="9" t="s">
        <v>343</v>
      </c>
      <c r="E105" s="374"/>
      <c r="F105" s="309"/>
      <c r="G105" s="371">
        <v>0</v>
      </c>
      <c r="H105" s="372"/>
      <c r="I105" s="373"/>
      <c r="J105" s="374"/>
      <c r="K105" s="375"/>
      <c r="L105" s="371">
        <v>0</v>
      </c>
      <c r="M105" s="372"/>
      <c r="N105" s="373"/>
      <c r="O105" s="374"/>
      <c r="P105" s="375"/>
      <c r="Q105" s="371">
        <v>0</v>
      </c>
      <c r="R105" s="372"/>
      <c r="S105" s="373"/>
      <c r="T105" s="374"/>
      <c r="U105" s="375"/>
      <c r="V105" s="371">
        <v>0</v>
      </c>
      <c r="W105" s="372"/>
      <c r="X105" s="373"/>
      <c r="Y105" s="374"/>
      <c r="Z105" s="375"/>
      <c r="AA105" s="371">
        <v>0</v>
      </c>
      <c r="AB105" s="372"/>
      <c r="AC105" s="373"/>
      <c r="AD105" s="374"/>
      <c r="AE105" s="375"/>
      <c r="AF105" s="371">
        <v>0</v>
      </c>
      <c r="AG105" s="372"/>
      <c r="AH105" s="373"/>
      <c r="AI105" s="374"/>
      <c r="AJ105" s="375"/>
      <c r="AK105" s="371">
        <v>0</v>
      </c>
      <c r="AL105" s="372"/>
      <c r="AM105" s="373"/>
      <c r="AN105" s="374"/>
      <c r="AO105" s="375"/>
      <c r="AP105" s="371">
        <v>0</v>
      </c>
      <c r="AQ105" s="372"/>
      <c r="AR105" s="373"/>
      <c r="AS105" s="374"/>
      <c r="AT105" s="375"/>
      <c r="AU105" s="371">
        <v>0</v>
      </c>
      <c r="AV105" s="372"/>
      <c r="AW105" s="373"/>
      <c r="AX105" s="374"/>
      <c r="AY105" s="375"/>
      <c r="AZ105" s="371">
        <v>0</v>
      </c>
      <c r="BA105" s="372"/>
      <c r="BB105" s="373"/>
      <c r="BC105" s="374"/>
      <c r="BD105" s="375"/>
      <c r="BE105" s="371">
        <v>0</v>
      </c>
      <c r="BF105" s="372"/>
      <c r="BG105" s="373"/>
      <c r="BH105" s="374"/>
      <c r="BI105" s="375"/>
      <c r="BJ105" s="371">
        <v>0</v>
      </c>
      <c r="BK105" s="372"/>
      <c r="BL105" s="373"/>
      <c r="BM105" s="374"/>
      <c r="BN105" s="375"/>
      <c r="BO105" s="371">
        <v>0</v>
      </c>
      <c r="BP105" s="372"/>
      <c r="BQ105" s="373"/>
      <c r="BR105" s="374"/>
      <c r="BS105" s="375"/>
      <c r="BT105" s="371">
        <f>SUM(L105:BO105)</f>
        <v>0</v>
      </c>
      <c r="BU105" s="372"/>
      <c r="BV105" s="373"/>
      <c r="BW105" s="9"/>
      <c r="BZ105" s="10"/>
      <c r="CA105" s="10"/>
    </row>
    <row r="106" spans="4:79" ht="12.75" hidden="1" customHeight="1" x14ac:dyDescent="0.2">
      <c r="D106" s="9" t="s">
        <v>345</v>
      </c>
      <c r="E106" s="374"/>
      <c r="F106" s="156"/>
      <c r="G106" s="373">
        <v>0</v>
      </c>
      <c r="H106" s="377"/>
      <c r="I106" s="373"/>
      <c r="J106" s="374"/>
      <c r="K106" s="374"/>
      <c r="L106" s="373">
        <v>0</v>
      </c>
      <c r="M106" s="377"/>
      <c r="N106" s="373"/>
      <c r="O106" s="374"/>
      <c r="P106" s="374"/>
      <c r="Q106" s="373">
        <v>0</v>
      </c>
      <c r="R106" s="377"/>
      <c r="S106" s="373"/>
      <c r="T106" s="374"/>
      <c r="U106" s="374"/>
      <c r="V106" s="373">
        <v>0</v>
      </c>
      <c r="W106" s="377"/>
      <c r="X106" s="373"/>
      <c r="Y106" s="374"/>
      <c r="Z106" s="374"/>
      <c r="AA106" s="373">
        <v>0</v>
      </c>
      <c r="AB106" s="377"/>
      <c r="AC106" s="373"/>
      <c r="AD106" s="374"/>
      <c r="AE106" s="374"/>
      <c r="AF106" s="373">
        <v>0</v>
      </c>
      <c r="AG106" s="377"/>
      <c r="AH106" s="373"/>
      <c r="AI106" s="374"/>
      <c r="AJ106" s="374"/>
      <c r="AK106" s="373">
        <v>0</v>
      </c>
      <c r="AL106" s="377"/>
      <c r="AM106" s="373"/>
      <c r="AN106" s="374"/>
      <c r="AO106" s="374"/>
      <c r="AP106" s="373">
        <v>0</v>
      </c>
      <c r="AQ106" s="377"/>
      <c r="AR106" s="373"/>
      <c r="AS106" s="374"/>
      <c r="AT106" s="374"/>
      <c r="AU106" s="373">
        <v>0</v>
      </c>
      <c r="AV106" s="377"/>
      <c r="AW106" s="373"/>
      <c r="AX106" s="374"/>
      <c r="AY106" s="374"/>
      <c r="AZ106" s="373">
        <v>0</v>
      </c>
      <c r="BA106" s="377"/>
      <c r="BB106" s="373"/>
      <c r="BC106" s="374"/>
      <c r="BD106" s="374"/>
      <c r="BE106" s="373">
        <v>0</v>
      </c>
      <c r="BF106" s="377"/>
      <c r="BG106" s="373"/>
      <c r="BH106" s="374"/>
      <c r="BI106" s="374"/>
      <c r="BJ106" s="373">
        <v>0</v>
      </c>
      <c r="BK106" s="377"/>
      <c r="BL106" s="373"/>
      <c r="BM106" s="374"/>
      <c r="BN106" s="374"/>
      <c r="BO106" s="373">
        <v>0</v>
      </c>
      <c r="BP106" s="377"/>
      <c r="BQ106" s="373"/>
      <c r="BR106" s="374"/>
      <c r="BS106" s="374"/>
      <c r="BT106" s="373">
        <f>SUM(L106:BO106)</f>
        <v>0</v>
      </c>
      <c r="BU106" s="377"/>
      <c r="BV106" s="373"/>
      <c r="BW106" s="9"/>
      <c r="BZ106" s="10"/>
      <c r="CA106" s="10"/>
    </row>
    <row r="107" spans="4:79" ht="12.75" hidden="1" customHeight="1" x14ac:dyDescent="0.2">
      <c r="D107" s="9" t="s">
        <v>353</v>
      </c>
      <c r="E107" s="374"/>
      <c r="F107" s="320"/>
      <c r="G107" s="385">
        <v>0</v>
      </c>
      <c r="H107" s="386"/>
      <c r="I107" s="373"/>
      <c r="J107" s="374"/>
      <c r="K107" s="387"/>
      <c r="L107" s="385">
        <v>0</v>
      </c>
      <c r="M107" s="386"/>
      <c r="N107" s="373"/>
      <c r="O107" s="374"/>
      <c r="P107" s="387"/>
      <c r="Q107" s="385">
        <v>0</v>
      </c>
      <c r="R107" s="386"/>
      <c r="S107" s="373"/>
      <c r="T107" s="374"/>
      <c r="U107" s="387"/>
      <c r="V107" s="385">
        <v>0</v>
      </c>
      <c r="W107" s="386"/>
      <c r="X107" s="373"/>
      <c r="Y107" s="374"/>
      <c r="Z107" s="387"/>
      <c r="AA107" s="385">
        <v>0</v>
      </c>
      <c r="AB107" s="386"/>
      <c r="AC107" s="373"/>
      <c r="AD107" s="374"/>
      <c r="AE107" s="387"/>
      <c r="AF107" s="385">
        <v>0</v>
      </c>
      <c r="AG107" s="386"/>
      <c r="AH107" s="373"/>
      <c r="AI107" s="374"/>
      <c r="AJ107" s="387"/>
      <c r="AK107" s="385">
        <v>0</v>
      </c>
      <c r="AL107" s="386"/>
      <c r="AM107" s="373"/>
      <c r="AN107" s="374"/>
      <c r="AO107" s="387"/>
      <c r="AP107" s="385">
        <v>0</v>
      </c>
      <c r="AQ107" s="386"/>
      <c r="AR107" s="373"/>
      <c r="AS107" s="374"/>
      <c r="AT107" s="387"/>
      <c r="AU107" s="385">
        <v>0</v>
      </c>
      <c r="AV107" s="386"/>
      <c r="AW107" s="373"/>
      <c r="AX107" s="374"/>
      <c r="AY107" s="387"/>
      <c r="AZ107" s="385">
        <v>0</v>
      </c>
      <c r="BA107" s="386"/>
      <c r="BB107" s="373"/>
      <c r="BC107" s="374"/>
      <c r="BD107" s="387"/>
      <c r="BE107" s="385">
        <v>0</v>
      </c>
      <c r="BF107" s="386"/>
      <c r="BG107" s="373"/>
      <c r="BH107" s="374"/>
      <c r="BI107" s="387"/>
      <c r="BJ107" s="385">
        <v>0</v>
      </c>
      <c r="BK107" s="386"/>
      <c r="BL107" s="373"/>
      <c r="BM107" s="374"/>
      <c r="BN107" s="387"/>
      <c r="BO107" s="385">
        <v>0</v>
      </c>
      <c r="BP107" s="386"/>
      <c r="BQ107" s="373"/>
      <c r="BR107" s="374"/>
      <c r="BS107" s="387"/>
      <c r="BT107" s="385">
        <f>SUM(L107:BO107)</f>
        <v>0</v>
      </c>
      <c r="BU107" s="386"/>
      <c r="BV107" s="373"/>
      <c r="BW107" s="9"/>
      <c r="BZ107" s="10"/>
      <c r="CA107" s="10"/>
    </row>
    <row r="108" spans="4:79" ht="12.75" hidden="1" customHeight="1" x14ac:dyDescent="0.2">
      <c r="D108" s="9"/>
      <c r="E108" s="374"/>
      <c r="G108" s="373"/>
      <c r="H108" s="373"/>
      <c r="I108" s="373"/>
      <c r="J108" s="374"/>
      <c r="K108" s="373"/>
      <c r="L108" s="373"/>
      <c r="M108" s="373"/>
      <c r="N108" s="373"/>
      <c r="O108" s="374"/>
      <c r="P108" s="373"/>
      <c r="Q108" s="373"/>
      <c r="R108" s="373"/>
      <c r="S108" s="373"/>
      <c r="T108" s="374"/>
      <c r="U108" s="373"/>
      <c r="V108" s="373"/>
      <c r="W108" s="373"/>
      <c r="X108" s="373"/>
      <c r="Y108" s="374"/>
      <c r="Z108" s="373"/>
      <c r="AA108" s="373"/>
      <c r="AB108" s="373"/>
      <c r="AC108" s="373"/>
      <c r="AD108" s="374"/>
      <c r="AE108" s="373"/>
      <c r="AF108" s="373"/>
      <c r="AG108" s="373"/>
      <c r="AH108" s="373"/>
      <c r="AI108" s="374"/>
      <c r="AJ108" s="373"/>
      <c r="AK108" s="373"/>
      <c r="AL108" s="373"/>
      <c r="AM108" s="373"/>
      <c r="AN108" s="374"/>
      <c r="AO108" s="373"/>
      <c r="AP108" s="373"/>
      <c r="AQ108" s="373"/>
      <c r="AR108" s="373"/>
      <c r="AS108" s="374"/>
      <c r="AT108" s="373"/>
      <c r="AU108" s="373"/>
      <c r="AV108" s="373"/>
      <c r="AW108" s="373"/>
      <c r="AX108" s="374"/>
      <c r="AY108" s="373"/>
      <c r="AZ108" s="373"/>
      <c r="BA108" s="373"/>
      <c r="BB108" s="373"/>
      <c r="BC108" s="374"/>
      <c r="BD108" s="373"/>
      <c r="BE108" s="373"/>
      <c r="BF108" s="373"/>
      <c r="BG108" s="373"/>
      <c r="BH108" s="374"/>
      <c r="BI108" s="373"/>
      <c r="BJ108" s="373"/>
      <c r="BK108" s="373"/>
      <c r="BL108" s="373"/>
      <c r="BM108" s="374"/>
      <c r="BN108" s="373"/>
      <c r="BO108" s="373"/>
      <c r="BP108" s="373"/>
      <c r="BQ108" s="373"/>
      <c r="BR108" s="374"/>
      <c r="BS108" s="373"/>
      <c r="BT108" s="373"/>
      <c r="BU108" s="373"/>
      <c r="BV108" s="373"/>
      <c r="BW108" s="9"/>
      <c r="BZ108" s="10"/>
      <c r="CA108" s="10"/>
    </row>
    <row r="109" spans="4:79" ht="12.75" hidden="1" customHeight="1" x14ac:dyDescent="0.2">
      <c r="D109" s="9" t="s">
        <v>364</v>
      </c>
      <c r="E109" s="374"/>
      <c r="G109" s="373">
        <f>SUM(G110:G112)</f>
        <v>0</v>
      </c>
      <c r="H109" s="373"/>
      <c r="I109" s="373"/>
      <c r="J109" s="374"/>
      <c r="K109" s="373"/>
      <c r="L109" s="373">
        <f>SUM(L110:L112)</f>
        <v>0</v>
      </c>
      <c r="M109" s="373"/>
      <c r="N109" s="373"/>
      <c r="O109" s="374"/>
      <c r="P109" s="373"/>
      <c r="Q109" s="373">
        <f>SUM(Q110:Q112)</f>
        <v>0</v>
      </c>
      <c r="R109" s="373"/>
      <c r="S109" s="373"/>
      <c r="T109" s="374"/>
      <c r="U109" s="373"/>
      <c r="V109" s="373">
        <f>SUM(V110:V112)</f>
        <v>0</v>
      </c>
      <c r="W109" s="373"/>
      <c r="X109" s="373"/>
      <c r="Y109" s="374"/>
      <c r="Z109" s="373"/>
      <c r="AA109" s="373">
        <f>SUM(AA110:AA112)</f>
        <v>0</v>
      </c>
      <c r="AB109" s="373"/>
      <c r="AC109" s="373"/>
      <c r="AD109" s="374"/>
      <c r="AE109" s="373"/>
      <c r="AF109" s="373">
        <f>SUM(AF110:AF112)</f>
        <v>0</v>
      </c>
      <c r="AG109" s="373"/>
      <c r="AH109" s="373"/>
      <c r="AI109" s="374"/>
      <c r="AJ109" s="373"/>
      <c r="AK109" s="373">
        <f>SUM(AK110:AK112)</f>
        <v>0</v>
      </c>
      <c r="AL109" s="373"/>
      <c r="AM109" s="373"/>
      <c r="AN109" s="374"/>
      <c r="AO109" s="373"/>
      <c r="AP109" s="373">
        <f>SUM(AP110:AP112)</f>
        <v>0</v>
      </c>
      <c r="AQ109" s="373"/>
      <c r="AR109" s="373"/>
      <c r="AS109" s="374"/>
      <c r="AT109" s="373"/>
      <c r="AU109" s="373">
        <f>SUM(AU110:AU112)</f>
        <v>0</v>
      </c>
      <c r="AV109" s="373"/>
      <c r="AW109" s="373"/>
      <c r="AX109" s="374"/>
      <c r="AY109" s="373"/>
      <c r="AZ109" s="373">
        <f>SUM(AZ110:AZ112)</f>
        <v>0</v>
      </c>
      <c r="BA109" s="373"/>
      <c r="BB109" s="373"/>
      <c r="BC109" s="374"/>
      <c r="BD109" s="373"/>
      <c r="BE109" s="373">
        <f>SUM(BE110:BE112)</f>
        <v>0</v>
      </c>
      <c r="BF109" s="373"/>
      <c r="BG109" s="373"/>
      <c r="BH109" s="374"/>
      <c r="BI109" s="373"/>
      <c r="BJ109" s="373">
        <f>SUM(BJ110:BJ112)</f>
        <v>0</v>
      </c>
      <c r="BK109" s="373"/>
      <c r="BL109" s="373"/>
      <c r="BM109" s="374"/>
      <c r="BN109" s="373"/>
      <c r="BO109" s="373">
        <f>SUM(BO110:BO112)</f>
        <v>0</v>
      </c>
      <c r="BP109" s="373"/>
      <c r="BQ109" s="373"/>
      <c r="BR109" s="374"/>
      <c r="BS109" s="373"/>
      <c r="BT109" s="373">
        <f>SUM(BT110:BT112)</f>
        <v>0</v>
      </c>
      <c r="BU109" s="373"/>
      <c r="BV109" s="373"/>
      <c r="BW109" s="9"/>
      <c r="BZ109" s="10"/>
      <c r="CA109" s="10"/>
    </row>
    <row r="110" spans="4:79" ht="12.75" hidden="1" customHeight="1" x14ac:dyDescent="0.2">
      <c r="D110" s="9" t="s">
        <v>343</v>
      </c>
      <c r="E110" s="374"/>
      <c r="F110" s="309"/>
      <c r="G110" s="371">
        <v>0</v>
      </c>
      <c r="H110" s="372"/>
      <c r="I110" s="373"/>
      <c r="J110" s="374"/>
      <c r="K110" s="375"/>
      <c r="L110" s="371">
        <v>0</v>
      </c>
      <c r="M110" s="372"/>
      <c r="N110" s="373"/>
      <c r="O110" s="374"/>
      <c r="P110" s="375"/>
      <c r="Q110" s="371">
        <v>0</v>
      </c>
      <c r="R110" s="372"/>
      <c r="S110" s="373"/>
      <c r="T110" s="374"/>
      <c r="U110" s="375"/>
      <c r="V110" s="371">
        <v>0</v>
      </c>
      <c r="W110" s="372"/>
      <c r="X110" s="373"/>
      <c r="Y110" s="374"/>
      <c r="Z110" s="375"/>
      <c r="AA110" s="371">
        <v>0</v>
      </c>
      <c r="AB110" s="372"/>
      <c r="AC110" s="373"/>
      <c r="AD110" s="374"/>
      <c r="AE110" s="375"/>
      <c r="AF110" s="371">
        <v>0</v>
      </c>
      <c r="AG110" s="372"/>
      <c r="AH110" s="373"/>
      <c r="AI110" s="374"/>
      <c r="AJ110" s="375"/>
      <c r="AK110" s="371">
        <v>0</v>
      </c>
      <c r="AL110" s="372"/>
      <c r="AM110" s="373"/>
      <c r="AN110" s="374"/>
      <c r="AO110" s="375"/>
      <c r="AP110" s="371">
        <v>0</v>
      </c>
      <c r="AQ110" s="372"/>
      <c r="AR110" s="373"/>
      <c r="AS110" s="374"/>
      <c r="AT110" s="375"/>
      <c r="AU110" s="371">
        <v>0</v>
      </c>
      <c r="AV110" s="372"/>
      <c r="AW110" s="373"/>
      <c r="AX110" s="374"/>
      <c r="AY110" s="375"/>
      <c r="AZ110" s="371">
        <v>0</v>
      </c>
      <c r="BA110" s="372"/>
      <c r="BB110" s="373"/>
      <c r="BC110" s="374"/>
      <c r="BD110" s="375"/>
      <c r="BE110" s="371">
        <v>0</v>
      </c>
      <c r="BF110" s="372"/>
      <c r="BG110" s="373"/>
      <c r="BH110" s="374"/>
      <c r="BI110" s="375"/>
      <c r="BJ110" s="371">
        <v>0</v>
      </c>
      <c r="BK110" s="372"/>
      <c r="BL110" s="373"/>
      <c r="BM110" s="374"/>
      <c r="BN110" s="375"/>
      <c r="BO110" s="371">
        <v>0</v>
      </c>
      <c r="BP110" s="372"/>
      <c r="BQ110" s="373"/>
      <c r="BR110" s="374"/>
      <c r="BS110" s="375"/>
      <c r="BT110" s="371">
        <f>SUM(L110:BO110)</f>
        <v>0</v>
      </c>
      <c r="BU110" s="372"/>
      <c r="BV110" s="373"/>
      <c r="BW110" s="9"/>
      <c r="BZ110" s="10"/>
      <c r="CA110" s="10"/>
    </row>
    <row r="111" spans="4:79" ht="12.75" hidden="1" customHeight="1" x14ac:dyDescent="0.2">
      <c r="D111" s="9" t="s">
        <v>345</v>
      </c>
      <c r="E111" s="374"/>
      <c r="F111" s="156"/>
      <c r="G111" s="373">
        <v>0</v>
      </c>
      <c r="H111" s="377"/>
      <c r="I111" s="373"/>
      <c r="J111" s="374"/>
      <c r="K111" s="374"/>
      <c r="L111" s="373">
        <v>0</v>
      </c>
      <c r="M111" s="377"/>
      <c r="N111" s="373"/>
      <c r="O111" s="374"/>
      <c r="P111" s="374"/>
      <c r="Q111" s="373">
        <v>0</v>
      </c>
      <c r="R111" s="377"/>
      <c r="S111" s="373"/>
      <c r="T111" s="374"/>
      <c r="U111" s="374"/>
      <c r="V111" s="373">
        <v>0</v>
      </c>
      <c r="W111" s="377"/>
      <c r="X111" s="373"/>
      <c r="Y111" s="374"/>
      <c r="Z111" s="374"/>
      <c r="AA111" s="373">
        <v>0</v>
      </c>
      <c r="AB111" s="377"/>
      <c r="AC111" s="373"/>
      <c r="AD111" s="374"/>
      <c r="AE111" s="374"/>
      <c r="AF111" s="373">
        <v>0</v>
      </c>
      <c r="AG111" s="377"/>
      <c r="AH111" s="373"/>
      <c r="AI111" s="374"/>
      <c r="AJ111" s="374"/>
      <c r="AK111" s="373">
        <v>0</v>
      </c>
      <c r="AL111" s="377"/>
      <c r="AM111" s="373"/>
      <c r="AN111" s="374"/>
      <c r="AO111" s="374"/>
      <c r="AP111" s="373">
        <v>0</v>
      </c>
      <c r="AQ111" s="377"/>
      <c r="AR111" s="373"/>
      <c r="AS111" s="374"/>
      <c r="AT111" s="374"/>
      <c r="AU111" s="373">
        <v>0</v>
      </c>
      <c r="AV111" s="377"/>
      <c r="AW111" s="373"/>
      <c r="AX111" s="374"/>
      <c r="AY111" s="374"/>
      <c r="AZ111" s="373">
        <v>0</v>
      </c>
      <c r="BA111" s="377"/>
      <c r="BB111" s="373"/>
      <c r="BC111" s="374"/>
      <c r="BD111" s="374"/>
      <c r="BE111" s="373">
        <v>0</v>
      </c>
      <c r="BF111" s="377"/>
      <c r="BG111" s="373"/>
      <c r="BH111" s="374"/>
      <c r="BI111" s="374"/>
      <c r="BJ111" s="373">
        <v>0</v>
      </c>
      <c r="BK111" s="377"/>
      <c r="BL111" s="373"/>
      <c r="BM111" s="374"/>
      <c r="BN111" s="374"/>
      <c r="BO111" s="373">
        <v>0</v>
      </c>
      <c r="BP111" s="377"/>
      <c r="BQ111" s="373"/>
      <c r="BR111" s="374"/>
      <c r="BS111" s="374"/>
      <c r="BT111" s="373">
        <f>SUM(L111:BO111)</f>
        <v>0</v>
      </c>
      <c r="BU111" s="377"/>
      <c r="BV111" s="373"/>
      <c r="BW111" s="9"/>
      <c r="BZ111" s="10"/>
      <c r="CA111" s="10"/>
    </row>
    <row r="112" spans="4:79" ht="12.75" hidden="1" customHeight="1" x14ac:dyDescent="0.2">
      <c r="D112" s="9" t="s">
        <v>353</v>
      </c>
      <c r="E112" s="374"/>
      <c r="F112" s="320"/>
      <c r="G112" s="385">
        <v>0</v>
      </c>
      <c r="H112" s="386"/>
      <c r="I112" s="373"/>
      <c r="J112" s="374"/>
      <c r="K112" s="387"/>
      <c r="L112" s="385">
        <v>0</v>
      </c>
      <c r="M112" s="386"/>
      <c r="N112" s="373"/>
      <c r="O112" s="374"/>
      <c r="P112" s="387"/>
      <c r="Q112" s="385">
        <v>0</v>
      </c>
      <c r="R112" s="386"/>
      <c r="S112" s="373"/>
      <c r="T112" s="374"/>
      <c r="U112" s="387"/>
      <c r="V112" s="385">
        <v>0</v>
      </c>
      <c r="W112" s="386"/>
      <c r="X112" s="373"/>
      <c r="Y112" s="374"/>
      <c r="Z112" s="387"/>
      <c r="AA112" s="385">
        <v>0</v>
      </c>
      <c r="AB112" s="386"/>
      <c r="AC112" s="373"/>
      <c r="AD112" s="374"/>
      <c r="AE112" s="387"/>
      <c r="AF112" s="385">
        <v>0</v>
      </c>
      <c r="AG112" s="386"/>
      <c r="AH112" s="373"/>
      <c r="AI112" s="374"/>
      <c r="AJ112" s="387"/>
      <c r="AK112" s="385">
        <v>0</v>
      </c>
      <c r="AL112" s="386"/>
      <c r="AM112" s="373"/>
      <c r="AN112" s="374"/>
      <c r="AO112" s="387"/>
      <c r="AP112" s="385">
        <v>0</v>
      </c>
      <c r="AQ112" s="386"/>
      <c r="AR112" s="373"/>
      <c r="AS112" s="374"/>
      <c r="AT112" s="387"/>
      <c r="AU112" s="385">
        <v>0</v>
      </c>
      <c r="AV112" s="386"/>
      <c r="AW112" s="373"/>
      <c r="AX112" s="374"/>
      <c r="AY112" s="387"/>
      <c r="AZ112" s="385">
        <v>0</v>
      </c>
      <c r="BA112" s="386"/>
      <c r="BB112" s="373"/>
      <c r="BC112" s="374"/>
      <c r="BD112" s="387"/>
      <c r="BE112" s="385">
        <v>0</v>
      </c>
      <c r="BF112" s="386"/>
      <c r="BG112" s="373"/>
      <c r="BH112" s="374"/>
      <c r="BI112" s="387"/>
      <c r="BJ112" s="385">
        <v>0</v>
      </c>
      <c r="BK112" s="386"/>
      <c r="BL112" s="373"/>
      <c r="BM112" s="374"/>
      <c r="BN112" s="387"/>
      <c r="BO112" s="385">
        <v>0</v>
      </c>
      <c r="BP112" s="386"/>
      <c r="BQ112" s="373"/>
      <c r="BR112" s="374"/>
      <c r="BS112" s="387"/>
      <c r="BT112" s="385">
        <f>SUM(L112:BO112)</f>
        <v>0</v>
      </c>
      <c r="BU112" s="386"/>
      <c r="BV112" s="373"/>
      <c r="BW112" s="9"/>
      <c r="BZ112" s="10"/>
      <c r="CA112" s="10"/>
    </row>
    <row r="113" spans="4:79" ht="12.75" hidden="1" customHeight="1" x14ac:dyDescent="0.2">
      <c r="D113" s="9"/>
      <c r="E113" s="374"/>
      <c r="G113" s="373"/>
      <c r="H113" s="373"/>
      <c r="I113" s="373"/>
      <c r="J113" s="374"/>
      <c r="K113" s="373"/>
      <c r="L113" s="373"/>
      <c r="M113" s="373"/>
      <c r="N113" s="373"/>
      <c r="O113" s="374"/>
      <c r="P113" s="373"/>
      <c r="Q113" s="373"/>
      <c r="R113" s="373"/>
      <c r="S113" s="373"/>
      <c r="T113" s="374"/>
      <c r="U113" s="373"/>
      <c r="V113" s="373"/>
      <c r="W113" s="373"/>
      <c r="X113" s="373"/>
      <c r="Y113" s="374"/>
      <c r="Z113" s="373"/>
      <c r="AA113" s="373"/>
      <c r="AB113" s="373"/>
      <c r="AC113" s="373"/>
      <c r="AD113" s="374"/>
      <c r="AE113" s="373"/>
      <c r="AF113" s="373"/>
      <c r="AG113" s="373"/>
      <c r="AH113" s="373"/>
      <c r="AI113" s="374"/>
      <c r="AJ113" s="373"/>
      <c r="AK113" s="373"/>
      <c r="AL113" s="373"/>
      <c r="AM113" s="373"/>
      <c r="AN113" s="374"/>
      <c r="AO113" s="373"/>
      <c r="AP113" s="373"/>
      <c r="AQ113" s="373"/>
      <c r="AR113" s="373"/>
      <c r="AS113" s="374"/>
      <c r="AT113" s="373"/>
      <c r="AU113" s="373"/>
      <c r="AV113" s="373"/>
      <c r="AW113" s="373"/>
      <c r="AX113" s="374"/>
      <c r="AY113" s="373"/>
      <c r="AZ113" s="373"/>
      <c r="BA113" s="373"/>
      <c r="BB113" s="373"/>
      <c r="BC113" s="374"/>
      <c r="BD113" s="373"/>
      <c r="BE113" s="373"/>
      <c r="BF113" s="373"/>
      <c r="BG113" s="373"/>
      <c r="BH113" s="374"/>
      <c r="BI113" s="373"/>
      <c r="BJ113" s="373"/>
      <c r="BK113" s="373"/>
      <c r="BL113" s="373"/>
      <c r="BM113" s="374"/>
      <c r="BN113" s="373"/>
      <c r="BO113" s="373"/>
      <c r="BP113" s="373"/>
      <c r="BQ113" s="373"/>
      <c r="BR113" s="374"/>
      <c r="BS113" s="373"/>
      <c r="BT113" s="373"/>
      <c r="BU113" s="373"/>
      <c r="BV113" s="373"/>
      <c r="BW113" s="9"/>
      <c r="BZ113" s="10"/>
      <c r="CA113" s="10"/>
    </row>
    <row r="114" spans="4:79" x14ac:dyDescent="0.2">
      <c r="D114" s="9" t="s">
        <v>365</v>
      </c>
      <c r="E114" s="374"/>
      <c r="G114" s="373">
        <f>SUM(G115:G117)</f>
        <v>0</v>
      </c>
      <c r="H114" s="373"/>
      <c r="I114" s="373"/>
      <c r="J114" s="374"/>
      <c r="K114" s="373"/>
      <c r="L114" s="373">
        <f>SUM(L115:L117)</f>
        <v>0</v>
      </c>
      <c r="M114" s="373"/>
      <c r="N114" s="373"/>
      <c r="O114" s="374"/>
      <c r="P114" s="373"/>
      <c r="Q114" s="373">
        <f>SUM(Q115:Q117)</f>
        <v>0</v>
      </c>
      <c r="R114" s="373"/>
      <c r="S114" s="373"/>
      <c r="T114" s="374"/>
      <c r="U114" s="373"/>
      <c r="V114" s="373">
        <f>SUM(V115:V117)</f>
        <v>0</v>
      </c>
      <c r="W114" s="373"/>
      <c r="X114" s="373"/>
      <c r="Y114" s="374"/>
      <c r="Z114" s="373"/>
      <c r="AA114" s="373">
        <f>SUM(AA115:AA117)</f>
        <v>0</v>
      </c>
      <c r="AB114" s="373"/>
      <c r="AC114" s="373"/>
      <c r="AD114" s="374"/>
      <c r="AE114" s="373"/>
      <c r="AF114" s="373">
        <f>SUM(AF115:AF117)</f>
        <v>0</v>
      </c>
      <c r="AG114" s="373"/>
      <c r="AH114" s="373"/>
      <c r="AI114" s="374"/>
      <c r="AJ114" s="373"/>
      <c r="AK114" s="373">
        <f>SUM(AK115:AK117)</f>
        <v>6601000</v>
      </c>
      <c r="AL114" s="373"/>
      <c r="AM114" s="373"/>
      <c r="AN114" s="374"/>
      <c r="AO114" s="373"/>
      <c r="AP114" s="373">
        <f>SUM(AP115:AP117)</f>
        <v>8322000</v>
      </c>
      <c r="AQ114" s="373"/>
      <c r="AR114" s="373"/>
      <c r="AS114" s="374"/>
      <c r="AT114" s="373"/>
      <c r="AU114" s="373">
        <f>SUM(AU115:AU117)</f>
        <v>4398000</v>
      </c>
      <c r="AV114" s="373"/>
      <c r="AW114" s="373"/>
      <c r="AX114" s="374"/>
      <c r="AY114" s="373"/>
      <c r="AZ114" s="373">
        <f>SUM(AZ115:AZ117)</f>
        <v>0</v>
      </c>
      <c r="BA114" s="373"/>
      <c r="BB114" s="373"/>
      <c r="BC114" s="374"/>
      <c r="BD114" s="373"/>
      <c r="BE114" s="373">
        <f>SUM(BE115:BE117)</f>
        <v>0</v>
      </c>
      <c r="BF114" s="373"/>
      <c r="BG114" s="373"/>
      <c r="BH114" s="374"/>
      <c r="BI114" s="373"/>
      <c r="BJ114" s="373">
        <f>SUM(BJ115:BJ117)</f>
        <v>0</v>
      </c>
      <c r="BK114" s="373"/>
      <c r="BL114" s="373"/>
      <c r="BM114" s="374"/>
      <c r="BN114" s="373"/>
      <c r="BO114" s="373">
        <f>SUM(BO115:BO117)</f>
        <v>0</v>
      </c>
      <c r="BP114" s="373"/>
      <c r="BQ114" s="373"/>
      <c r="BR114" s="374"/>
      <c r="BS114" s="373"/>
      <c r="BT114" s="373">
        <f>SUM(BT115:BT117)</f>
        <v>19321000</v>
      </c>
      <c r="BU114" s="373"/>
      <c r="BV114" s="373"/>
      <c r="BW114" s="9"/>
      <c r="BZ114" s="10"/>
      <c r="CA114" s="10"/>
    </row>
    <row r="115" spans="4:79" x14ac:dyDescent="0.2">
      <c r="D115" s="9" t="s">
        <v>343</v>
      </c>
      <c r="E115" s="374"/>
      <c r="F115" s="309"/>
      <c r="G115" s="371">
        <v>0</v>
      </c>
      <c r="H115" s="372"/>
      <c r="I115" s="373"/>
      <c r="J115" s="374"/>
      <c r="K115" s="375"/>
      <c r="L115" s="371">
        <v>0</v>
      </c>
      <c r="M115" s="372"/>
      <c r="N115" s="373"/>
      <c r="O115" s="374"/>
      <c r="P115" s="375"/>
      <c r="Q115" s="371">
        <v>0</v>
      </c>
      <c r="R115" s="372"/>
      <c r="S115" s="373"/>
      <c r="T115" s="374"/>
      <c r="U115" s="375"/>
      <c r="V115" s="371">
        <v>0</v>
      </c>
      <c r="W115" s="372"/>
      <c r="X115" s="373"/>
      <c r="Y115" s="374"/>
      <c r="Z115" s="375"/>
      <c r="AA115" s="371">
        <v>0</v>
      </c>
      <c r="AB115" s="372"/>
      <c r="AC115" s="373"/>
      <c r="AD115" s="374"/>
      <c r="AE115" s="375"/>
      <c r="AF115" s="371">
        <v>0</v>
      </c>
      <c r="AG115" s="372"/>
      <c r="AH115" s="373"/>
      <c r="AI115" s="374"/>
      <c r="AJ115" s="375"/>
      <c r="AK115" s="371">
        <f>6601000-1192748</f>
        <v>5408252</v>
      </c>
      <c r="AL115" s="372"/>
      <c r="AM115" s="373"/>
      <c r="AN115" s="374"/>
      <c r="AO115" s="375"/>
      <c r="AP115" s="371">
        <f>8322000-1699015</f>
        <v>6622985</v>
      </c>
      <c r="AQ115" s="372"/>
      <c r="AR115" s="373"/>
      <c r="AS115" s="374"/>
      <c r="AT115" s="375"/>
      <c r="AU115" s="371">
        <f>4398000-878082</f>
        <v>3519918</v>
      </c>
      <c r="AV115" s="372"/>
      <c r="AW115" s="373"/>
      <c r="AX115" s="374"/>
      <c r="AY115" s="375"/>
      <c r="AZ115" s="371">
        <v>0</v>
      </c>
      <c r="BA115" s="372"/>
      <c r="BB115" s="373"/>
      <c r="BC115" s="374"/>
      <c r="BD115" s="375"/>
      <c r="BE115" s="371">
        <v>0</v>
      </c>
      <c r="BF115" s="372"/>
      <c r="BG115" s="373"/>
      <c r="BH115" s="374"/>
      <c r="BI115" s="375"/>
      <c r="BJ115" s="371">
        <v>0</v>
      </c>
      <c r="BK115" s="372"/>
      <c r="BL115" s="373"/>
      <c r="BM115" s="374"/>
      <c r="BN115" s="375"/>
      <c r="BO115" s="371">
        <v>0</v>
      </c>
      <c r="BP115" s="372"/>
      <c r="BQ115" s="373"/>
      <c r="BR115" s="374"/>
      <c r="BS115" s="375"/>
      <c r="BT115" s="371">
        <f>SUM(L115:BO115)</f>
        <v>15551155</v>
      </c>
      <c r="BU115" s="372"/>
      <c r="BV115" s="373"/>
      <c r="BW115" s="9"/>
      <c r="BZ115" s="10"/>
      <c r="CA115" s="10"/>
    </row>
    <row r="116" spans="4:79" x14ac:dyDescent="0.2">
      <c r="D116" s="9" t="s">
        <v>345</v>
      </c>
      <c r="E116" s="374"/>
      <c r="F116" s="156"/>
      <c r="G116" s="373">
        <v>0</v>
      </c>
      <c r="H116" s="377"/>
      <c r="I116" s="373"/>
      <c r="J116" s="374"/>
      <c r="K116" s="374"/>
      <c r="L116" s="373">
        <v>0</v>
      </c>
      <c r="M116" s="377"/>
      <c r="N116" s="373"/>
      <c r="O116" s="374"/>
      <c r="P116" s="374"/>
      <c r="Q116" s="373">
        <v>0</v>
      </c>
      <c r="R116" s="377"/>
      <c r="S116" s="373"/>
      <c r="T116" s="374"/>
      <c r="U116" s="374"/>
      <c r="V116" s="373">
        <v>0</v>
      </c>
      <c r="W116" s="377"/>
      <c r="X116" s="373"/>
      <c r="Y116" s="374"/>
      <c r="Z116" s="374"/>
      <c r="AA116" s="373">
        <v>0</v>
      </c>
      <c r="AB116" s="377"/>
      <c r="AC116" s="373"/>
      <c r="AD116" s="374"/>
      <c r="AE116" s="374"/>
      <c r="AF116" s="373">
        <v>0</v>
      </c>
      <c r="AG116" s="377"/>
      <c r="AH116" s="373"/>
      <c r="AI116" s="374"/>
      <c r="AJ116" s="374"/>
      <c r="AK116" s="373">
        <v>1192748</v>
      </c>
      <c r="AL116" s="377"/>
      <c r="AM116" s="373"/>
      <c r="AN116" s="374"/>
      <c r="AO116" s="374"/>
      <c r="AP116" s="373">
        <v>1699015</v>
      </c>
      <c r="AQ116" s="377"/>
      <c r="AR116" s="373"/>
      <c r="AS116" s="374"/>
      <c r="AT116" s="374"/>
      <c r="AU116" s="373">
        <v>878082</v>
      </c>
      <c r="AV116" s="377"/>
      <c r="AW116" s="373"/>
      <c r="AX116" s="374"/>
      <c r="AY116" s="374"/>
      <c r="AZ116" s="373">
        <v>0</v>
      </c>
      <c r="BA116" s="377"/>
      <c r="BB116" s="373"/>
      <c r="BC116" s="374"/>
      <c r="BD116" s="374"/>
      <c r="BE116" s="373">
        <v>0</v>
      </c>
      <c r="BF116" s="377"/>
      <c r="BG116" s="373"/>
      <c r="BH116" s="374"/>
      <c r="BI116" s="374"/>
      <c r="BJ116" s="373">
        <v>0</v>
      </c>
      <c r="BK116" s="377"/>
      <c r="BL116" s="373"/>
      <c r="BM116" s="374"/>
      <c r="BN116" s="374"/>
      <c r="BO116" s="373">
        <v>0</v>
      </c>
      <c r="BP116" s="377"/>
      <c r="BQ116" s="373"/>
      <c r="BR116" s="374"/>
      <c r="BS116" s="374"/>
      <c r="BT116" s="373">
        <f>SUM(L116:BO116)</f>
        <v>3769845</v>
      </c>
      <c r="BU116" s="377"/>
      <c r="BV116" s="373"/>
      <c r="BW116" s="9"/>
      <c r="BZ116" s="10"/>
      <c r="CA116" s="10"/>
    </row>
    <row r="117" spans="4:79" x14ac:dyDescent="0.2">
      <c r="D117" s="9" t="s">
        <v>353</v>
      </c>
      <c r="E117" s="374"/>
      <c r="F117" s="320"/>
      <c r="G117" s="385">
        <v>0</v>
      </c>
      <c r="H117" s="386"/>
      <c r="I117" s="373"/>
      <c r="J117" s="374"/>
      <c r="K117" s="387"/>
      <c r="L117" s="385">
        <v>0</v>
      </c>
      <c r="M117" s="386"/>
      <c r="N117" s="373"/>
      <c r="O117" s="374"/>
      <c r="P117" s="387"/>
      <c r="Q117" s="385">
        <v>0</v>
      </c>
      <c r="R117" s="386"/>
      <c r="S117" s="373"/>
      <c r="T117" s="374"/>
      <c r="U117" s="387"/>
      <c r="V117" s="385">
        <v>0</v>
      </c>
      <c r="W117" s="386"/>
      <c r="X117" s="373"/>
      <c r="Y117" s="374"/>
      <c r="Z117" s="387"/>
      <c r="AA117" s="385">
        <v>0</v>
      </c>
      <c r="AB117" s="386"/>
      <c r="AC117" s="373"/>
      <c r="AD117" s="374"/>
      <c r="AE117" s="387"/>
      <c r="AF117" s="385">
        <v>0</v>
      </c>
      <c r="AG117" s="386"/>
      <c r="AH117" s="373"/>
      <c r="AI117" s="374"/>
      <c r="AJ117" s="387"/>
      <c r="AK117" s="385">
        <v>0</v>
      </c>
      <c r="AL117" s="386"/>
      <c r="AM117" s="373"/>
      <c r="AN117" s="374"/>
      <c r="AO117" s="387"/>
      <c r="AP117" s="385">
        <v>0</v>
      </c>
      <c r="AQ117" s="386"/>
      <c r="AR117" s="373"/>
      <c r="AS117" s="374"/>
      <c r="AT117" s="387"/>
      <c r="AU117" s="385">
        <v>0</v>
      </c>
      <c r="AV117" s="386"/>
      <c r="AW117" s="373"/>
      <c r="AX117" s="374"/>
      <c r="AY117" s="387"/>
      <c r="AZ117" s="385">
        <v>0</v>
      </c>
      <c r="BA117" s="386"/>
      <c r="BB117" s="373"/>
      <c r="BC117" s="374"/>
      <c r="BD117" s="387"/>
      <c r="BE117" s="385">
        <v>0</v>
      </c>
      <c r="BF117" s="386"/>
      <c r="BG117" s="373"/>
      <c r="BH117" s="374"/>
      <c r="BI117" s="387"/>
      <c r="BJ117" s="385">
        <v>0</v>
      </c>
      <c r="BK117" s="386"/>
      <c r="BL117" s="373"/>
      <c r="BM117" s="374"/>
      <c r="BN117" s="387"/>
      <c r="BO117" s="385">
        <v>0</v>
      </c>
      <c r="BP117" s="386"/>
      <c r="BQ117" s="373"/>
      <c r="BR117" s="374"/>
      <c r="BS117" s="387"/>
      <c r="BT117" s="385">
        <f>SUM(L117:BO117)</f>
        <v>0</v>
      </c>
      <c r="BU117" s="386"/>
      <c r="BV117" s="373"/>
      <c r="BW117" s="9"/>
      <c r="BZ117" s="10"/>
      <c r="CA117" s="10"/>
    </row>
    <row r="118" spans="4:79" x14ac:dyDescent="0.2">
      <c r="D118" s="9"/>
      <c r="E118" s="374"/>
      <c r="G118" s="373"/>
      <c r="H118" s="373"/>
      <c r="I118" s="373"/>
      <c r="J118" s="374"/>
      <c r="K118" s="373"/>
      <c r="L118" s="373"/>
      <c r="M118" s="373"/>
      <c r="N118" s="373"/>
      <c r="O118" s="374"/>
      <c r="P118" s="373"/>
      <c r="Q118" s="373"/>
      <c r="R118" s="373"/>
      <c r="S118" s="373"/>
      <c r="T118" s="374"/>
      <c r="U118" s="373"/>
      <c r="V118" s="373"/>
      <c r="W118" s="373"/>
      <c r="X118" s="373"/>
      <c r="Y118" s="374"/>
      <c r="Z118" s="373"/>
      <c r="AA118" s="373"/>
      <c r="AB118" s="373"/>
      <c r="AC118" s="373"/>
      <c r="AD118" s="374"/>
      <c r="AE118" s="373"/>
      <c r="AF118" s="373"/>
      <c r="AG118" s="373"/>
      <c r="AH118" s="373"/>
      <c r="AI118" s="374"/>
      <c r="AJ118" s="373"/>
      <c r="AK118" s="373"/>
      <c r="AL118" s="373"/>
      <c r="AM118" s="373"/>
      <c r="AN118" s="374"/>
      <c r="AO118" s="373"/>
      <c r="AP118" s="373"/>
      <c r="AQ118" s="373"/>
      <c r="AR118" s="373"/>
      <c r="AS118" s="374"/>
      <c r="AT118" s="373"/>
      <c r="AU118" s="373"/>
      <c r="AV118" s="373"/>
      <c r="AW118" s="373"/>
      <c r="AX118" s="374"/>
      <c r="AY118" s="373"/>
      <c r="AZ118" s="373"/>
      <c r="BA118" s="373"/>
      <c r="BB118" s="373"/>
      <c r="BC118" s="374"/>
      <c r="BD118" s="373"/>
      <c r="BE118" s="373"/>
      <c r="BF118" s="373"/>
      <c r="BG118" s="373"/>
      <c r="BH118" s="374"/>
      <c r="BI118" s="373"/>
      <c r="BJ118" s="373"/>
      <c r="BK118" s="373"/>
      <c r="BL118" s="373"/>
      <c r="BM118" s="374"/>
      <c r="BN118" s="373"/>
      <c r="BO118" s="373"/>
      <c r="BP118" s="373"/>
      <c r="BQ118" s="373"/>
      <c r="BR118" s="374"/>
      <c r="BS118" s="373"/>
      <c r="BT118" s="373"/>
      <c r="BU118" s="373"/>
      <c r="BV118" s="373"/>
      <c r="BW118" s="9"/>
      <c r="BZ118" s="10"/>
      <c r="CA118" s="10"/>
    </row>
    <row r="119" spans="4:79" ht="12.75" hidden="1" customHeight="1" x14ac:dyDescent="0.2">
      <c r="D119" s="9" t="s">
        <v>366</v>
      </c>
      <c r="E119" s="374"/>
      <c r="G119" s="373">
        <f>SUM(G120:G123)</f>
        <v>0</v>
      </c>
      <c r="H119" s="373"/>
      <c r="I119" s="373"/>
      <c r="J119" s="374"/>
      <c r="K119" s="373"/>
      <c r="L119" s="373">
        <f>SUM(L120:L123)</f>
        <v>0</v>
      </c>
      <c r="M119" s="373"/>
      <c r="N119" s="373"/>
      <c r="O119" s="374"/>
      <c r="P119" s="373"/>
      <c r="Q119" s="373">
        <f>SUM(Q120:Q123)</f>
        <v>0</v>
      </c>
      <c r="R119" s="373"/>
      <c r="S119" s="373"/>
      <c r="T119" s="374"/>
      <c r="U119" s="373"/>
      <c r="V119" s="373">
        <f>SUM(V120:V123)</f>
        <v>0</v>
      </c>
      <c r="W119" s="373"/>
      <c r="X119" s="373"/>
      <c r="Y119" s="374"/>
      <c r="Z119" s="373"/>
      <c r="AA119" s="373">
        <f>SUM(AA120:AA123)</f>
        <v>0</v>
      </c>
      <c r="AB119" s="373"/>
      <c r="AC119" s="373"/>
      <c r="AD119" s="374"/>
      <c r="AE119" s="373"/>
      <c r="AF119" s="373">
        <f>SUM(AF120:AF123)</f>
        <v>0</v>
      </c>
      <c r="AG119" s="373"/>
      <c r="AH119" s="373"/>
      <c r="AI119" s="374"/>
      <c r="AJ119" s="373"/>
      <c r="AK119" s="373">
        <f>SUM(AK120:AK123)</f>
        <v>0</v>
      </c>
      <c r="AL119" s="373"/>
      <c r="AM119" s="373"/>
      <c r="AN119" s="374"/>
      <c r="AO119" s="373"/>
      <c r="AP119" s="373">
        <f>SUM(AP120:AP123)</f>
        <v>0</v>
      </c>
      <c r="AQ119" s="373"/>
      <c r="AR119" s="373"/>
      <c r="AS119" s="374"/>
      <c r="AT119" s="373"/>
      <c r="AU119" s="373">
        <f>SUM(AU120:AU123)</f>
        <v>0</v>
      </c>
      <c r="AV119" s="373"/>
      <c r="AW119" s="373"/>
      <c r="AX119" s="374"/>
      <c r="AY119" s="373"/>
      <c r="AZ119" s="373">
        <f>SUM(AZ120:AZ123)</f>
        <v>0</v>
      </c>
      <c r="BA119" s="373"/>
      <c r="BB119" s="373"/>
      <c r="BC119" s="374"/>
      <c r="BD119" s="373"/>
      <c r="BE119" s="373">
        <f>SUM(BE120:BE123)</f>
        <v>0</v>
      </c>
      <c r="BF119" s="373"/>
      <c r="BG119" s="373"/>
      <c r="BH119" s="374"/>
      <c r="BI119" s="373"/>
      <c r="BJ119" s="373">
        <f>SUM(BJ120:BJ123)</f>
        <v>0</v>
      </c>
      <c r="BK119" s="373"/>
      <c r="BL119" s="373"/>
      <c r="BM119" s="374"/>
      <c r="BN119" s="373"/>
      <c r="BO119" s="373">
        <f>SUM(BO120:BO123)</f>
        <v>0</v>
      </c>
      <c r="BP119" s="373"/>
      <c r="BQ119" s="373"/>
      <c r="BR119" s="374"/>
      <c r="BS119" s="373"/>
      <c r="BT119" s="373">
        <f>SUM(BT120:BT123)</f>
        <v>0</v>
      </c>
      <c r="BU119" s="373"/>
      <c r="BV119" s="373"/>
      <c r="BW119" s="9"/>
      <c r="BZ119" s="10"/>
      <c r="CA119" s="10"/>
    </row>
    <row r="120" spans="4:79" ht="12.75" hidden="1" customHeight="1" x14ac:dyDescent="0.2">
      <c r="D120" s="9" t="s">
        <v>343</v>
      </c>
      <c r="E120" s="374"/>
      <c r="F120" s="309"/>
      <c r="G120" s="371">
        <v>0</v>
      </c>
      <c r="H120" s="372"/>
      <c r="I120" s="373"/>
      <c r="J120" s="374"/>
      <c r="K120" s="375"/>
      <c r="L120" s="371">
        <v>0</v>
      </c>
      <c r="M120" s="372"/>
      <c r="N120" s="373"/>
      <c r="O120" s="374"/>
      <c r="P120" s="375"/>
      <c r="Q120" s="371">
        <v>0</v>
      </c>
      <c r="R120" s="372"/>
      <c r="S120" s="373"/>
      <c r="T120" s="374"/>
      <c r="U120" s="375"/>
      <c r="V120" s="371">
        <v>0</v>
      </c>
      <c r="W120" s="372"/>
      <c r="X120" s="373"/>
      <c r="Y120" s="374"/>
      <c r="Z120" s="375"/>
      <c r="AA120" s="371">
        <v>0</v>
      </c>
      <c r="AB120" s="372"/>
      <c r="AC120" s="373"/>
      <c r="AD120" s="374"/>
      <c r="AE120" s="375"/>
      <c r="AF120" s="371">
        <v>0</v>
      </c>
      <c r="AG120" s="372"/>
      <c r="AH120" s="373"/>
      <c r="AI120" s="374"/>
      <c r="AJ120" s="375"/>
      <c r="AK120" s="371">
        <v>0</v>
      </c>
      <c r="AL120" s="372"/>
      <c r="AM120" s="373"/>
      <c r="AN120" s="374"/>
      <c r="AO120" s="375"/>
      <c r="AP120" s="371">
        <v>0</v>
      </c>
      <c r="AQ120" s="372"/>
      <c r="AR120" s="373"/>
      <c r="AS120" s="374"/>
      <c r="AT120" s="375"/>
      <c r="AU120" s="371">
        <v>0</v>
      </c>
      <c r="AV120" s="372"/>
      <c r="AW120" s="373"/>
      <c r="AX120" s="374"/>
      <c r="AY120" s="375"/>
      <c r="AZ120" s="371">
        <v>0</v>
      </c>
      <c r="BA120" s="372"/>
      <c r="BB120" s="373"/>
      <c r="BC120" s="374"/>
      <c r="BD120" s="375"/>
      <c r="BE120" s="371">
        <v>0</v>
      </c>
      <c r="BF120" s="372"/>
      <c r="BG120" s="373"/>
      <c r="BH120" s="374"/>
      <c r="BI120" s="375"/>
      <c r="BJ120" s="371">
        <v>0</v>
      </c>
      <c r="BK120" s="372"/>
      <c r="BL120" s="373"/>
      <c r="BM120" s="374"/>
      <c r="BN120" s="375"/>
      <c r="BO120" s="371">
        <v>0</v>
      </c>
      <c r="BP120" s="372"/>
      <c r="BQ120" s="373"/>
      <c r="BR120" s="374"/>
      <c r="BS120" s="375"/>
      <c r="BT120" s="371">
        <f>SUM(L120:BO120)</f>
        <v>0</v>
      </c>
      <c r="BU120" s="372"/>
      <c r="BV120" s="373"/>
      <c r="BW120" s="9"/>
      <c r="BZ120" s="10"/>
      <c r="CA120" s="10"/>
    </row>
    <row r="121" spans="4:79" ht="12.75" hidden="1" customHeight="1" x14ac:dyDescent="0.2">
      <c r="D121" s="9" t="s">
        <v>345</v>
      </c>
      <c r="E121" s="374"/>
      <c r="F121" s="156"/>
      <c r="G121" s="373">
        <v>0</v>
      </c>
      <c r="H121" s="377"/>
      <c r="I121" s="373"/>
      <c r="J121" s="374"/>
      <c r="K121" s="374"/>
      <c r="L121" s="373">
        <v>0</v>
      </c>
      <c r="M121" s="377"/>
      <c r="N121" s="373"/>
      <c r="O121" s="374"/>
      <c r="P121" s="374"/>
      <c r="Q121" s="373">
        <v>0</v>
      </c>
      <c r="R121" s="377"/>
      <c r="S121" s="373"/>
      <c r="T121" s="374"/>
      <c r="U121" s="374"/>
      <c r="V121" s="373">
        <v>0</v>
      </c>
      <c r="W121" s="377"/>
      <c r="X121" s="373"/>
      <c r="Y121" s="374"/>
      <c r="Z121" s="374"/>
      <c r="AA121" s="373">
        <v>0</v>
      </c>
      <c r="AB121" s="377"/>
      <c r="AC121" s="373"/>
      <c r="AD121" s="374"/>
      <c r="AE121" s="374"/>
      <c r="AF121" s="373">
        <v>0</v>
      </c>
      <c r="AG121" s="377"/>
      <c r="AH121" s="373"/>
      <c r="AI121" s="374"/>
      <c r="AJ121" s="374"/>
      <c r="AK121" s="373">
        <v>0</v>
      </c>
      <c r="AL121" s="377"/>
      <c r="AM121" s="373"/>
      <c r="AN121" s="374"/>
      <c r="AO121" s="374"/>
      <c r="AP121" s="373">
        <v>0</v>
      </c>
      <c r="AQ121" s="377"/>
      <c r="AR121" s="373"/>
      <c r="AS121" s="374"/>
      <c r="AT121" s="374"/>
      <c r="AU121" s="373">
        <v>0</v>
      </c>
      <c r="AV121" s="377"/>
      <c r="AW121" s="373"/>
      <c r="AX121" s="374"/>
      <c r="AY121" s="374"/>
      <c r="AZ121" s="373">
        <v>0</v>
      </c>
      <c r="BA121" s="377"/>
      <c r="BB121" s="373"/>
      <c r="BC121" s="374"/>
      <c r="BD121" s="374"/>
      <c r="BE121" s="373">
        <v>0</v>
      </c>
      <c r="BF121" s="377"/>
      <c r="BG121" s="373"/>
      <c r="BH121" s="374"/>
      <c r="BI121" s="374"/>
      <c r="BJ121" s="373">
        <v>0</v>
      </c>
      <c r="BK121" s="377"/>
      <c r="BL121" s="373"/>
      <c r="BM121" s="374"/>
      <c r="BN121" s="374"/>
      <c r="BO121" s="373">
        <v>0</v>
      </c>
      <c r="BP121" s="377"/>
      <c r="BQ121" s="373"/>
      <c r="BR121" s="374"/>
      <c r="BS121" s="374"/>
      <c r="BT121" s="373">
        <f>SUM(L121:BO121)</f>
        <v>0</v>
      </c>
      <c r="BU121" s="377"/>
      <c r="BV121" s="373"/>
      <c r="BW121" s="9"/>
      <c r="BZ121" s="10"/>
      <c r="CA121" s="10"/>
    </row>
    <row r="122" spans="4:79" ht="12.75" hidden="1" customHeight="1" x14ac:dyDescent="0.2">
      <c r="D122" s="9" t="s">
        <v>346</v>
      </c>
      <c r="E122" s="374"/>
      <c r="F122" s="156"/>
      <c r="G122" s="373">
        <v>0</v>
      </c>
      <c r="H122" s="377"/>
      <c r="I122" s="373"/>
      <c r="J122" s="374"/>
      <c r="K122" s="374"/>
      <c r="L122" s="373">
        <v>0</v>
      </c>
      <c r="M122" s="377"/>
      <c r="N122" s="373"/>
      <c r="O122" s="374"/>
      <c r="P122" s="374"/>
      <c r="Q122" s="373">
        <v>0</v>
      </c>
      <c r="R122" s="377"/>
      <c r="S122" s="373"/>
      <c r="T122" s="374"/>
      <c r="U122" s="374"/>
      <c r="V122" s="373">
        <v>0</v>
      </c>
      <c r="W122" s="377"/>
      <c r="X122" s="373"/>
      <c r="Y122" s="374"/>
      <c r="Z122" s="374"/>
      <c r="AA122" s="373">
        <v>0</v>
      </c>
      <c r="AB122" s="377"/>
      <c r="AC122" s="373"/>
      <c r="AD122" s="374"/>
      <c r="AE122" s="374"/>
      <c r="AF122" s="373">
        <v>0</v>
      </c>
      <c r="AG122" s="377"/>
      <c r="AH122" s="373"/>
      <c r="AI122" s="374"/>
      <c r="AJ122" s="374"/>
      <c r="AK122" s="373">
        <v>0</v>
      </c>
      <c r="AL122" s="377"/>
      <c r="AM122" s="373"/>
      <c r="AN122" s="374"/>
      <c r="AO122" s="374"/>
      <c r="AP122" s="373">
        <v>0</v>
      </c>
      <c r="AQ122" s="377"/>
      <c r="AR122" s="373"/>
      <c r="AS122" s="374"/>
      <c r="AT122" s="374"/>
      <c r="AU122" s="373">
        <v>0</v>
      </c>
      <c r="AV122" s="377"/>
      <c r="AW122" s="373"/>
      <c r="AX122" s="374"/>
      <c r="AY122" s="374"/>
      <c r="AZ122" s="373">
        <v>0</v>
      </c>
      <c r="BA122" s="377"/>
      <c r="BB122" s="373"/>
      <c r="BC122" s="374"/>
      <c r="BD122" s="374"/>
      <c r="BE122" s="373">
        <v>0</v>
      </c>
      <c r="BF122" s="377"/>
      <c r="BG122" s="373"/>
      <c r="BH122" s="374"/>
      <c r="BI122" s="374"/>
      <c r="BJ122" s="373">
        <v>0</v>
      </c>
      <c r="BK122" s="377"/>
      <c r="BL122" s="373"/>
      <c r="BM122" s="374"/>
      <c r="BN122" s="374"/>
      <c r="BO122" s="373">
        <v>0</v>
      </c>
      <c r="BP122" s="377"/>
      <c r="BQ122" s="373"/>
      <c r="BR122" s="374"/>
      <c r="BS122" s="374"/>
      <c r="BT122" s="373">
        <f>SUM(L122:BO122)</f>
        <v>0</v>
      </c>
      <c r="BU122" s="377"/>
      <c r="BV122" s="373"/>
      <c r="BW122" s="9"/>
      <c r="BZ122" s="10"/>
      <c r="CA122" s="10"/>
    </row>
    <row r="123" spans="4:79" ht="12.75" hidden="1" customHeight="1" x14ac:dyDescent="0.2">
      <c r="D123" s="9" t="s">
        <v>347</v>
      </c>
      <c r="E123" s="374"/>
      <c r="F123" s="320"/>
      <c r="G123" s="385">
        <v>0</v>
      </c>
      <c r="H123" s="386"/>
      <c r="I123" s="373"/>
      <c r="J123" s="374"/>
      <c r="K123" s="387"/>
      <c r="L123" s="385">
        <v>0</v>
      </c>
      <c r="M123" s="386"/>
      <c r="N123" s="373"/>
      <c r="O123" s="374"/>
      <c r="P123" s="387"/>
      <c r="Q123" s="385">
        <v>0</v>
      </c>
      <c r="R123" s="386"/>
      <c r="S123" s="373"/>
      <c r="T123" s="374"/>
      <c r="U123" s="387"/>
      <c r="V123" s="385">
        <v>0</v>
      </c>
      <c r="W123" s="386"/>
      <c r="X123" s="373"/>
      <c r="Y123" s="374"/>
      <c r="Z123" s="387"/>
      <c r="AA123" s="385">
        <v>0</v>
      </c>
      <c r="AB123" s="386"/>
      <c r="AC123" s="373"/>
      <c r="AD123" s="374"/>
      <c r="AE123" s="387"/>
      <c r="AF123" s="385">
        <v>0</v>
      </c>
      <c r="AG123" s="386"/>
      <c r="AH123" s="373"/>
      <c r="AI123" s="374"/>
      <c r="AJ123" s="387"/>
      <c r="AK123" s="385">
        <v>0</v>
      </c>
      <c r="AL123" s="386"/>
      <c r="AM123" s="373"/>
      <c r="AN123" s="374"/>
      <c r="AO123" s="387"/>
      <c r="AP123" s="385">
        <v>0</v>
      </c>
      <c r="AQ123" s="386"/>
      <c r="AR123" s="373"/>
      <c r="AS123" s="374"/>
      <c r="AT123" s="387"/>
      <c r="AU123" s="385">
        <v>0</v>
      </c>
      <c r="AV123" s="386"/>
      <c r="AW123" s="373"/>
      <c r="AX123" s="374"/>
      <c r="AY123" s="387"/>
      <c r="AZ123" s="385">
        <v>0</v>
      </c>
      <c r="BA123" s="386"/>
      <c r="BB123" s="373"/>
      <c r="BC123" s="374"/>
      <c r="BD123" s="387"/>
      <c r="BE123" s="385">
        <v>0</v>
      </c>
      <c r="BF123" s="386"/>
      <c r="BG123" s="373"/>
      <c r="BH123" s="374"/>
      <c r="BI123" s="387"/>
      <c r="BJ123" s="385">
        <v>0</v>
      </c>
      <c r="BK123" s="386"/>
      <c r="BL123" s="373"/>
      <c r="BM123" s="374"/>
      <c r="BN123" s="387"/>
      <c r="BO123" s="385">
        <v>0</v>
      </c>
      <c r="BP123" s="386"/>
      <c r="BQ123" s="373"/>
      <c r="BR123" s="374"/>
      <c r="BS123" s="387"/>
      <c r="BT123" s="385">
        <f>SUM(L123:BO123)</f>
        <v>0</v>
      </c>
      <c r="BU123" s="386"/>
      <c r="BV123" s="373"/>
      <c r="BW123" s="9"/>
      <c r="BZ123" s="10"/>
      <c r="CA123" s="10"/>
    </row>
    <row r="124" spans="4:79" ht="12.75" hidden="1" customHeight="1" x14ac:dyDescent="0.2">
      <c r="D124" s="9"/>
      <c r="E124" s="374"/>
      <c r="G124" s="373"/>
      <c r="H124" s="373"/>
      <c r="I124" s="373"/>
      <c r="J124" s="374"/>
      <c r="K124" s="373"/>
      <c r="L124" s="373"/>
      <c r="M124" s="373"/>
      <c r="N124" s="373"/>
      <c r="O124" s="374"/>
      <c r="P124" s="373"/>
      <c r="Q124" s="373"/>
      <c r="R124" s="373"/>
      <c r="S124" s="373"/>
      <c r="T124" s="374"/>
      <c r="U124" s="373"/>
      <c r="V124" s="373"/>
      <c r="W124" s="373"/>
      <c r="X124" s="373"/>
      <c r="Y124" s="374"/>
      <c r="Z124" s="373"/>
      <c r="AA124" s="373"/>
      <c r="AB124" s="373"/>
      <c r="AC124" s="373"/>
      <c r="AD124" s="374"/>
      <c r="AE124" s="373"/>
      <c r="AF124" s="373"/>
      <c r="AG124" s="373"/>
      <c r="AH124" s="373"/>
      <c r="AI124" s="374"/>
      <c r="AJ124" s="373"/>
      <c r="AK124" s="373"/>
      <c r="AL124" s="373"/>
      <c r="AM124" s="373"/>
      <c r="AN124" s="374"/>
      <c r="AO124" s="373"/>
      <c r="AP124" s="373"/>
      <c r="AQ124" s="373"/>
      <c r="AR124" s="373"/>
      <c r="AS124" s="374"/>
      <c r="AT124" s="373"/>
      <c r="AU124" s="373"/>
      <c r="AV124" s="373"/>
      <c r="AW124" s="373"/>
      <c r="AX124" s="374"/>
      <c r="AY124" s="373"/>
      <c r="AZ124" s="373"/>
      <c r="BA124" s="373"/>
      <c r="BB124" s="373"/>
      <c r="BC124" s="374"/>
      <c r="BD124" s="373"/>
      <c r="BE124" s="373"/>
      <c r="BF124" s="373"/>
      <c r="BG124" s="373"/>
      <c r="BH124" s="374"/>
      <c r="BI124" s="373"/>
      <c r="BJ124" s="373"/>
      <c r="BK124" s="373"/>
      <c r="BL124" s="373"/>
      <c r="BM124" s="374"/>
      <c r="BN124" s="373"/>
      <c r="BO124" s="373"/>
      <c r="BP124" s="373"/>
      <c r="BQ124" s="373"/>
      <c r="BR124" s="374"/>
      <c r="BS124" s="373"/>
      <c r="BT124" s="373"/>
      <c r="BU124" s="373"/>
      <c r="BV124" s="373"/>
      <c r="BW124" s="9"/>
      <c r="BZ124" s="10"/>
      <c r="CA124" s="10"/>
    </row>
    <row r="125" spans="4:79" ht="12.75" hidden="1" customHeight="1" x14ac:dyDescent="0.2">
      <c r="D125" s="9" t="s">
        <v>367</v>
      </c>
      <c r="E125" s="374"/>
      <c r="G125" s="373">
        <f>SUM(G126:G129)</f>
        <v>0</v>
      </c>
      <c r="H125" s="373"/>
      <c r="I125" s="373"/>
      <c r="J125" s="374"/>
      <c r="K125" s="373"/>
      <c r="L125" s="373">
        <f>SUM(L126:L129)</f>
        <v>0</v>
      </c>
      <c r="M125" s="373"/>
      <c r="N125" s="373"/>
      <c r="O125" s="374"/>
      <c r="P125" s="373"/>
      <c r="Q125" s="373">
        <f>SUM(Q126:Q129)</f>
        <v>0</v>
      </c>
      <c r="R125" s="373"/>
      <c r="S125" s="373"/>
      <c r="T125" s="374"/>
      <c r="U125" s="373"/>
      <c r="V125" s="373">
        <f>SUM(V126:V129)</f>
        <v>0</v>
      </c>
      <c r="W125" s="373"/>
      <c r="X125" s="373"/>
      <c r="Y125" s="374"/>
      <c r="Z125" s="373"/>
      <c r="AA125" s="373">
        <f>SUM(AA126:AA129)</f>
        <v>0</v>
      </c>
      <c r="AB125" s="373"/>
      <c r="AC125" s="373"/>
      <c r="AD125" s="374"/>
      <c r="AE125" s="373"/>
      <c r="AF125" s="373">
        <f>SUM(AF126:AF129)</f>
        <v>0</v>
      </c>
      <c r="AG125" s="373"/>
      <c r="AH125" s="373"/>
      <c r="AI125" s="374"/>
      <c r="AJ125" s="373"/>
      <c r="AK125" s="373">
        <f>SUM(AK126:AK129)</f>
        <v>0</v>
      </c>
      <c r="AL125" s="373"/>
      <c r="AM125" s="373"/>
      <c r="AN125" s="374"/>
      <c r="AO125" s="373"/>
      <c r="AP125" s="373">
        <f>SUM(AP126:AP129)</f>
        <v>0</v>
      </c>
      <c r="AQ125" s="373"/>
      <c r="AR125" s="373"/>
      <c r="AS125" s="374"/>
      <c r="AT125" s="373"/>
      <c r="AU125" s="373">
        <f>SUM(AU126:AU129)</f>
        <v>0</v>
      </c>
      <c r="AV125" s="373"/>
      <c r="AW125" s="373"/>
      <c r="AX125" s="374"/>
      <c r="AY125" s="373"/>
      <c r="AZ125" s="373">
        <f>SUM(AZ126:AZ129)</f>
        <v>0</v>
      </c>
      <c r="BA125" s="373"/>
      <c r="BB125" s="373"/>
      <c r="BC125" s="374"/>
      <c r="BD125" s="373"/>
      <c r="BE125" s="373">
        <f>SUM(BE126:BE129)</f>
        <v>0</v>
      </c>
      <c r="BF125" s="373"/>
      <c r="BG125" s="373"/>
      <c r="BH125" s="374"/>
      <c r="BI125" s="373"/>
      <c r="BJ125" s="373">
        <f>SUM(BJ126:BJ129)</f>
        <v>0</v>
      </c>
      <c r="BK125" s="373"/>
      <c r="BL125" s="373"/>
      <c r="BM125" s="374"/>
      <c r="BN125" s="373"/>
      <c r="BO125" s="373">
        <f>SUM(BO126:BO129)</f>
        <v>0</v>
      </c>
      <c r="BP125" s="373"/>
      <c r="BQ125" s="373"/>
      <c r="BR125" s="374"/>
      <c r="BS125" s="373"/>
      <c r="BT125" s="373">
        <f>SUM(BT126:BT129)</f>
        <v>0</v>
      </c>
      <c r="BU125" s="373"/>
      <c r="BV125" s="373"/>
      <c r="BW125" s="9"/>
      <c r="BZ125" s="10"/>
      <c r="CA125" s="10"/>
    </row>
    <row r="126" spans="4:79" ht="12.75" hidden="1" customHeight="1" x14ac:dyDescent="0.2">
      <c r="D126" s="9" t="s">
        <v>343</v>
      </c>
      <c r="E126" s="374"/>
      <c r="F126" s="309"/>
      <c r="G126" s="371">
        <v>0</v>
      </c>
      <c r="H126" s="372"/>
      <c r="I126" s="373"/>
      <c r="J126" s="374"/>
      <c r="K126" s="375"/>
      <c r="L126" s="371">
        <v>0</v>
      </c>
      <c r="M126" s="372"/>
      <c r="N126" s="373"/>
      <c r="O126" s="374"/>
      <c r="P126" s="375"/>
      <c r="Q126" s="371">
        <v>0</v>
      </c>
      <c r="R126" s="372"/>
      <c r="S126" s="373"/>
      <c r="T126" s="374"/>
      <c r="U126" s="375"/>
      <c r="V126" s="371">
        <v>0</v>
      </c>
      <c r="W126" s="372"/>
      <c r="X126" s="373"/>
      <c r="Y126" s="374"/>
      <c r="Z126" s="375"/>
      <c r="AA126" s="371">
        <v>0</v>
      </c>
      <c r="AB126" s="372"/>
      <c r="AC126" s="373"/>
      <c r="AD126" s="374"/>
      <c r="AE126" s="375"/>
      <c r="AF126" s="371">
        <v>0</v>
      </c>
      <c r="AG126" s="372"/>
      <c r="AH126" s="373"/>
      <c r="AI126" s="374"/>
      <c r="AJ126" s="375"/>
      <c r="AK126" s="371">
        <v>0</v>
      </c>
      <c r="AL126" s="372"/>
      <c r="AM126" s="373"/>
      <c r="AN126" s="374"/>
      <c r="AO126" s="375"/>
      <c r="AP126" s="371">
        <v>0</v>
      </c>
      <c r="AQ126" s="372"/>
      <c r="AR126" s="373"/>
      <c r="AS126" s="374"/>
      <c r="AT126" s="375"/>
      <c r="AU126" s="371">
        <v>0</v>
      </c>
      <c r="AV126" s="372"/>
      <c r="AW126" s="373"/>
      <c r="AX126" s="374"/>
      <c r="AY126" s="375"/>
      <c r="AZ126" s="371">
        <v>0</v>
      </c>
      <c r="BA126" s="372"/>
      <c r="BB126" s="373"/>
      <c r="BC126" s="374"/>
      <c r="BD126" s="375"/>
      <c r="BE126" s="371">
        <v>0</v>
      </c>
      <c r="BF126" s="372"/>
      <c r="BG126" s="373"/>
      <c r="BH126" s="374"/>
      <c r="BI126" s="375"/>
      <c r="BJ126" s="371">
        <v>0</v>
      </c>
      <c r="BK126" s="372"/>
      <c r="BL126" s="373"/>
      <c r="BM126" s="374"/>
      <c r="BN126" s="375"/>
      <c r="BO126" s="371">
        <v>0</v>
      </c>
      <c r="BP126" s="372"/>
      <c r="BQ126" s="373"/>
      <c r="BR126" s="374"/>
      <c r="BS126" s="375"/>
      <c r="BT126" s="371">
        <f>SUM(L126:BO126)</f>
        <v>0</v>
      </c>
      <c r="BU126" s="372"/>
      <c r="BV126" s="373"/>
      <c r="BW126" s="9"/>
      <c r="BZ126" s="10"/>
      <c r="CA126" s="10"/>
    </row>
    <row r="127" spans="4:79" ht="12.75" hidden="1" customHeight="1" x14ac:dyDescent="0.2">
      <c r="D127" s="9" t="s">
        <v>345</v>
      </c>
      <c r="E127" s="374"/>
      <c r="F127" s="156"/>
      <c r="G127" s="373">
        <v>0</v>
      </c>
      <c r="H127" s="377"/>
      <c r="I127" s="373"/>
      <c r="J127" s="374"/>
      <c r="K127" s="374"/>
      <c r="L127" s="373">
        <v>0</v>
      </c>
      <c r="M127" s="377"/>
      <c r="N127" s="373"/>
      <c r="O127" s="374"/>
      <c r="P127" s="374"/>
      <c r="Q127" s="373">
        <v>0</v>
      </c>
      <c r="R127" s="377"/>
      <c r="S127" s="373"/>
      <c r="T127" s="374"/>
      <c r="U127" s="374"/>
      <c r="V127" s="373">
        <v>0</v>
      </c>
      <c r="W127" s="377"/>
      <c r="X127" s="373"/>
      <c r="Y127" s="374"/>
      <c r="Z127" s="374"/>
      <c r="AA127" s="373">
        <v>0</v>
      </c>
      <c r="AB127" s="377"/>
      <c r="AC127" s="373"/>
      <c r="AD127" s="374"/>
      <c r="AE127" s="374"/>
      <c r="AF127" s="373">
        <v>0</v>
      </c>
      <c r="AG127" s="377"/>
      <c r="AH127" s="373"/>
      <c r="AI127" s="374"/>
      <c r="AJ127" s="374"/>
      <c r="AK127" s="373">
        <v>0</v>
      </c>
      <c r="AL127" s="377"/>
      <c r="AM127" s="373"/>
      <c r="AN127" s="374"/>
      <c r="AO127" s="374"/>
      <c r="AP127" s="373">
        <v>0</v>
      </c>
      <c r="AQ127" s="377"/>
      <c r="AR127" s="373"/>
      <c r="AS127" s="374"/>
      <c r="AT127" s="374"/>
      <c r="AU127" s="373">
        <v>0</v>
      </c>
      <c r="AV127" s="377"/>
      <c r="AW127" s="373"/>
      <c r="AX127" s="374"/>
      <c r="AY127" s="374"/>
      <c r="AZ127" s="373">
        <v>0</v>
      </c>
      <c r="BA127" s="377"/>
      <c r="BB127" s="373"/>
      <c r="BC127" s="374"/>
      <c r="BD127" s="374"/>
      <c r="BE127" s="373">
        <v>0</v>
      </c>
      <c r="BF127" s="377"/>
      <c r="BG127" s="373"/>
      <c r="BH127" s="374"/>
      <c r="BI127" s="374"/>
      <c r="BJ127" s="373">
        <v>0</v>
      </c>
      <c r="BK127" s="377"/>
      <c r="BL127" s="373"/>
      <c r="BM127" s="374"/>
      <c r="BN127" s="374"/>
      <c r="BO127" s="373">
        <v>0</v>
      </c>
      <c r="BP127" s="377"/>
      <c r="BQ127" s="373"/>
      <c r="BR127" s="374"/>
      <c r="BS127" s="374"/>
      <c r="BT127" s="373">
        <f>SUM(L127:BO127)</f>
        <v>0</v>
      </c>
      <c r="BU127" s="377"/>
      <c r="BV127" s="373"/>
      <c r="BW127" s="9"/>
      <c r="BZ127" s="10"/>
      <c r="CA127" s="10"/>
    </row>
    <row r="128" spans="4:79" ht="12.75" hidden="1" customHeight="1" x14ac:dyDescent="0.2">
      <c r="D128" s="9" t="s">
        <v>346</v>
      </c>
      <c r="E128" s="374"/>
      <c r="F128" s="156"/>
      <c r="G128" s="373">
        <v>0</v>
      </c>
      <c r="H128" s="377"/>
      <c r="I128" s="373"/>
      <c r="J128" s="374"/>
      <c r="K128" s="374"/>
      <c r="L128" s="373">
        <v>0</v>
      </c>
      <c r="M128" s="377"/>
      <c r="N128" s="373"/>
      <c r="O128" s="374"/>
      <c r="P128" s="374"/>
      <c r="Q128" s="373">
        <v>0</v>
      </c>
      <c r="R128" s="377"/>
      <c r="S128" s="373"/>
      <c r="T128" s="374"/>
      <c r="U128" s="374"/>
      <c r="V128" s="373">
        <v>0</v>
      </c>
      <c r="W128" s="377"/>
      <c r="X128" s="373"/>
      <c r="Y128" s="374"/>
      <c r="Z128" s="374"/>
      <c r="AA128" s="373">
        <v>0</v>
      </c>
      <c r="AB128" s="377"/>
      <c r="AC128" s="373"/>
      <c r="AD128" s="374"/>
      <c r="AE128" s="374"/>
      <c r="AF128" s="373">
        <v>0</v>
      </c>
      <c r="AG128" s="377"/>
      <c r="AH128" s="373"/>
      <c r="AI128" s="374"/>
      <c r="AJ128" s="374"/>
      <c r="AK128" s="373">
        <v>0</v>
      </c>
      <c r="AL128" s="377"/>
      <c r="AM128" s="373"/>
      <c r="AN128" s="374"/>
      <c r="AO128" s="374"/>
      <c r="AP128" s="373">
        <v>0</v>
      </c>
      <c r="AQ128" s="377"/>
      <c r="AR128" s="373"/>
      <c r="AS128" s="374"/>
      <c r="AT128" s="374"/>
      <c r="AU128" s="373">
        <v>0</v>
      </c>
      <c r="AV128" s="377"/>
      <c r="AW128" s="373"/>
      <c r="AX128" s="374"/>
      <c r="AY128" s="374"/>
      <c r="AZ128" s="373">
        <v>0</v>
      </c>
      <c r="BA128" s="377"/>
      <c r="BB128" s="373"/>
      <c r="BC128" s="374"/>
      <c r="BD128" s="374"/>
      <c r="BE128" s="373">
        <v>0</v>
      </c>
      <c r="BF128" s="377"/>
      <c r="BG128" s="373"/>
      <c r="BH128" s="374"/>
      <c r="BI128" s="374"/>
      <c r="BJ128" s="373">
        <v>0</v>
      </c>
      <c r="BK128" s="377"/>
      <c r="BL128" s="373"/>
      <c r="BM128" s="374"/>
      <c r="BN128" s="374"/>
      <c r="BO128" s="373">
        <v>0</v>
      </c>
      <c r="BP128" s="377"/>
      <c r="BQ128" s="373"/>
      <c r="BR128" s="374"/>
      <c r="BS128" s="374"/>
      <c r="BT128" s="373">
        <f>SUM(L128:BO128)</f>
        <v>0</v>
      </c>
      <c r="BU128" s="377"/>
      <c r="BV128" s="373"/>
      <c r="BW128" s="9"/>
      <c r="BZ128" s="10"/>
      <c r="CA128" s="10"/>
    </row>
    <row r="129" spans="4:79" ht="12.75" hidden="1" customHeight="1" x14ac:dyDescent="0.2">
      <c r="D129" s="9" t="s">
        <v>347</v>
      </c>
      <c r="E129" s="374"/>
      <c r="F129" s="320"/>
      <c r="G129" s="385">
        <v>0</v>
      </c>
      <c r="H129" s="386"/>
      <c r="I129" s="373"/>
      <c r="J129" s="374"/>
      <c r="K129" s="387"/>
      <c r="L129" s="385">
        <v>0</v>
      </c>
      <c r="M129" s="386"/>
      <c r="N129" s="373"/>
      <c r="O129" s="374"/>
      <c r="P129" s="387"/>
      <c r="Q129" s="385">
        <v>0</v>
      </c>
      <c r="R129" s="386"/>
      <c r="S129" s="373"/>
      <c r="T129" s="374"/>
      <c r="U129" s="387"/>
      <c r="V129" s="385">
        <v>0</v>
      </c>
      <c r="W129" s="386"/>
      <c r="X129" s="373"/>
      <c r="Y129" s="374"/>
      <c r="Z129" s="387"/>
      <c r="AA129" s="385">
        <v>0</v>
      </c>
      <c r="AB129" s="386"/>
      <c r="AC129" s="373"/>
      <c r="AD129" s="374"/>
      <c r="AE129" s="387"/>
      <c r="AF129" s="385">
        <v>0</v>
      </c>
      <c r="AG129" s="386"/>
      <c r="AH129" s="373"/>
      <c r="AI129" s="374"/>
      <c r="AJ129" s="387"/>
      <c r="AK129" s="385">
        <v>0</v>
      </c>
      <c r="AL129" s="386"/>
      <c r="AM129" s="373"/>
      <c r="AN129" s="374"/>
      <c r="AO129" s="387"/>
      <c r="AP129" s="385">
        <v>0</v>
      </c>
      <c r="AQ129" s="386"/>
      <c r="AR129" s="373"/>
      <c r="AS129" s="374"/>
      <c r="AT129" s="387"/>
      <c r="AU129" s="385">
        <v>0</v>
      </c>
      <c r="AV129" s="386"/>
      <c r="AW129" s="373"/>
      <c r="AX129" s="374"/>
      <c r="AY129" s="387"/>
      <c r="AZ129" s="385">
        <v>0</v>
      </c>
      <c r="BA129" s="386"/>
      <c r="BB129" s="373"/>
      <c r="BC129" s="374"/>
      <c r="BD129" s="387"/>
      <c r="BE129" s="385">
        <v>0</v>
      </c>
      <c r="BF129" s="386"/>
      <c r="BG129" s="373"/>
      <c r="BH129" s="374"/>
      <c r="BI129" s="387"/>
      <c r="BJ129" s="385">
        <v>0</v>
      </c>
      <c r="BK129" s="386"/>
      <c r="BL129" s="373"/>
      <c r="BM129" s="374"/>
      <c r="BN129" s="387"/>
      <c r="BO129" s="385">
        <v>0</v>
      </c>
      <c r="BP129" s="386"/>
      <c r="BQ129" s="373"/>
      <c r="BR129" s="374"/>
      <c r="BS129" s="387"/>
      <c r="BT129" s="385">
        <f>SUM(L129:BO129)</f>
        <v>0</v>
      </c>
      <c r="BU129" s="386"/>
      <c r="BV129" s="373"/>
      <c r="BW129" s="9"/>
      <c r="BZ129" s="10"/>
      <c r="CA129" s="10"/>
    </row>
    <row r="130" spans="4:79" ht="12.75" hidden="1" customHeight="1" x14ac:dyDescent="0.2">
      <c r="D130" s="9"/>
      <c r="E130" s="374"/>
      <c r="G130" s="373"/>
      <c r="H130" s="373"/>
      <c r="I130" s="373"/>
      <c r="J130" s="374"/>
      <c r="K130" s="373"/>
      <c r="L130" s="373"/>
      <c r="M130" s="373"/>
      <c r="N130" s="373"/>
      <c r="O130" s="374"/>
      <c r="P130" s="373"/>
      <c r="Q130" s="373"/>
      <c r="R130" s="373"/>
      <c r="S130" s="373"/>
      <c r="T130" s="374"/>
      <c r="U130" s="373"/>
      <c r="V130" s="373"/>
      <c r="W130" s="373"/>
      <c r="X130" s="373"/>
      <c r="Y130" s="374"/>
      <c r="Z130" s="373"/>
      <c r="AA130" s="373"/>
      <c r="AB130" s="373"/>
      <c r="AC130" s="373"/>
      <c r="AD130" s="374"/>
      <c r="AE130" s="373"/>
      <c r="AF130" s="373"/>
      <c r="AG130" s="373"/>
      <c r="AH130" s="373"/>
      <c r="AI130" s="374"/>
      <c r="AJ130" s="373"/>
      <c r="AK130" s="373"/>
      <c r="AL130" s="373"/>
      <c r="AM130" s="373"/>
      <c r="AN130" s="374"/>
      <c r="AO130" s="373"/>
      <c r="AP130" s="373"/>
      <c r="AQ130" s="373"/>
      <c r="AR130" s="373"/>
      <c r="AS130" s="374"/>
      <c r="AT130" s="373"/>
      <c r="AU130" s="373"/>
      <c r="AV130" s="373"/>
      <c r="AW130" s="373"/>
      <c r="AX130" s="374"/>
      <c r="AY130" s="373"/>
      <c r="AZ130" s="373"/>
      <c r="BA130" s="373"/>
      <c r="BB130" s="373"/>
      <c r="BC130" s="374"/>
      <c r="BD130" s="373"/>
      <c r="BE130" s="373"/>
      <c r="BF130" s="373"/>
      <c r="BG130" s="373"/>
      <c r="BH130" s="374"/>
      <c r="BI130" s="373"/>
      <c r="BJ130" s="373"/>
      <c r="BK130" s="373"/>
      <c r="BL130" s="373"/>
      <c r="BM130" s="374"/>
      <c r="BN130" s="373"/>
      <c r="BO130" s="373"/>
      <c r="BP130" s="373"/>
      <c r="BQ130" s="373"/>
      <c r="BR130" s="374"/>
      <c r="BS130" s="373"/>
      <c r="BT130" s="373"/>
      <c r="BU130" s="373"/>
      <c r="BV130" s="373"/>
      <c r="BW130" s="9"/>
      <c r="BZ130" s="10"/>
      <c r="CA130" s="10"/>
    </row>
    <row r="131" spans="4:79" ht="12.75" customHeight="1" x14ac:dyDescent="0.2">
      <c r="D131" s="9" t="s">
        <v>368</v>
      </c>
      <c r="E131" s="374"/>
      <c r="G131" s="373">
        <f>SUM(G132:G135)</f>
        <v>0</v>
      </c>
      <c r="H131" s="373"/>
      <c r="I131" s="373"/>
      <c r="J131" s="374"/>
      <c r="K131" s="373"/>
      <c r="L131" s="373">
        <f>SUM(L132:L135)</f>
        <v>2291175</v>
      </c>
      <c r="M131" s="373"/>
      <c r="N131" s="373"/>
      <c r="O131" s="374"/>
      <c r="P131" s="373"/>
      <c r="Q131" s="373">
        <f>SUM(Q132:Q135)</f>
        <v>0</v>
      </c>
      <c r="R131" s="373"/>
      <c r="S131" s="373"/>
      <c r="T131" s="374"/>
      <c r="U131" s="373"/>
      <c r="V131" s="373">
        <f>SUM(V132:V135)</f>
        <v>0</v>
      </c>
      <c r="W131" s="373"/>
      <c r="X131" s="373"/>
      <c r="Y131" s="374"/>
      <c r="Z131" s="373"/>
      <c r="AA131" s="373">
        <f>SUM(AA132:AA135)</f>
        <v>0</v>
      </c>
      <c r="AB131" s="373"/>
      <c r="AC131" s="373"/>
      <c r="AD131" s="374"/>
      <c r="AE131" s="373"/>
      <c r="AF131" s="373">
        <f>SUM(AF132:AF135)</f>
        <v>0</v>
      </c>
      <c r="AG131" s="373"/>
      <c r="AH131" s="373"/>
      <c r="AI131" s="374"/>
      <c r="AJ131" s="373"/>
      <c r="AK131" s="373">
        <f>SUM(AK132:AK135)</f>
        <v>0</v>
      </c>
      <c r="AL131" s="373"/>
      <c r="AM131" s="373"/>
      <c r="AN131" s="374"/>
      <c r="AO131" s="373"/>
      <c r="AP131" s="373">
        <f>SUM(AP132:AP135)</f>
        <v>0</v>
      </c>
      <c r="AQ131" s="373"/>
      <c r="AR131" s="373"/>
      <c r="AS131" s="374"/>
      <c r="AT131" s="373"/>
      <c r="AU131" s="373">
        <f>SUM(AU132:AU135)</f>
        <v>0</v>
      </c>
      <c r="AV131" s="373"/>
      <c r="AW131" s="373"/>
      <c r="AX131" s="374"/>
      <c r="AY131" s="373"/>
      <c r="AZ131" s="373">
        <f>SUM(AZ132:AZ135)</f>
        <v>0</v>
      </c>
      <c r="BA131" s="373"/>
      <c r="BB131" s="373"/>
      <c r="BC131" s="374"/>
      <c r="BD131" s="373"/>
      <c r="BE131" s="373">
        <f>SUM(BE132:BE135)</f>
        <v>0</v>
      </c>
      <c r="BF131" s="373"/>
      <c r="BG131" s="373"/>
      <c r="BH131" s="374"/>
      <c r="BI131" s="373"/>
      <c r="BJ131" s="373">
        <f>SUM(BJ132:BJ135)</f>
        <v>0</v>
      </c>
      <c r="BK131" s="373"/>
      <c r="BL131" s="373"/>
      <c r="BM131" s="374"/>
      <c r="BN131" s="373"/>
      <c r="BO131" s="373">
        <f>SUM(BO132:BO135)</f>
        <v>0</v>
      </c>
      <c r="BP131" s="373"/>
      <c r="BQ131" s="373"/>
      <c r="BR131" s="374"/>
      <c r="BS131" s="373"/>
      <c r="BT131" s="373">
        <f>SUM(BT132:BT135)</f>
        <v>2291175</v>
      </c>
      <c r="BU131" s="373"/>
      <c r="BV131" s="373"/>
      <c r="BW131" s="9"/>
      <c r="BZ131" s="10"/>
      <c r="CA131" s="10"/>
    </row>
    <row r="132" spans="4:79" ht="12.75" customHeight="1" x14ac:dyDescent="0.2">
      <c r="D132" s="9" t="s">
        <v>343</v>
      </c>
      <c r="E132" s="374"/>
      <c r="F132" s="309"/>
      <c r="G132" s="371">
        <v>0</v>
      </c>
      <c r="H132" s="372"/>
      <c r="I132" s="373"/>
      <c r="J132" s="374"/>
      <c r="K132" s="309"/>
      <c r="L132" s="371">
        <f>1410000-18467+4648</f>
        <v>1396181</v>
      </c>
      <c r="M132" s="372"/>
      <c r="N132" s="373"/>
      <c r="O132" s="374"/>
      <c r="P132" s="375"/>
      <c r="Q132" s="371">
        <v>0</v>
      </c>
      <c r="R132" s="372"/>
      <c r="S132" s="373"/>
      <c r="T132" s="374"/>
      <c r="U132" s="375"/>
      <c r="V132" s="371">
        <v>0</v>
      </c>
      <c r="W132" s="372"/>
      <c r="X132" s="373"/>
      <c r="Y132" s="374"/>
      <c r="Z132" s="375"/>
      <c r="AA132" s="371">
        <v>0</v>
      </c>
      <c r="AB132" s="372"/>
      <c r="AC132" s="373"/>
      <c r="AD132" s="374"/>
      <c r="AE132" s="375"/>
      <c r="AF132" s="371">
        <v>0</v>
      </c>
      <c r="AG132" s="372"/>
      <c r="AH132" s="373"/>
      <c r="AI132" s="374"/>
      <c r="AJ132" s="375"/>
      <c r="AK132" s="371">
        <v>0</v>
      </c>
      <c r="AL132" s="372"/>
      <c r="AM132" s="373"/>
      <c r="AN132" s="374"/>
      <c r="AO132" s="375"/>
      <c r="AP132" s="371">
        <v>0</v>
      </c>
      <c r="AQ132" s="372"/>
      <c r="AR132" s="373"/>
      <c r="AS132" s="374"/>
      <c r="AT132" s="375"/>
      <c r="AU132" s="371">
        <v>0</v>
      </c>
      <c r="AV132" s="372"/>
      <c r="AW132" s="373"/>
      <c r="AX132" s="374"/>
      <c r="AY132" s="375"/>
      <c r="AZ132" s="371">
        <v>0</v>
      </c>
      <c r="BA132" s="372"/>
      <c r="BB132" s="373"/>
      <c r="BC132" s="374"/>
      <c r="BD132" s="375"/>
      <c r="BE132" s="371">
        <v>0</v>
      </c>
      <c r="BF132" s="372"/>
      <c r="BG132" s="373"/>
      <c r="BH132" s="374"/>
      <c r="BI132" s="375"/>
      <c r="BJ132" s="371">
        <v>0</v>
      </c>
      <c r="BK132" s="372"/>
      <c r="BL132" s="373"/>
      <c r="BM132" s="374"/>
      <c r="BN132" s="375"/>
      <c r="BO132" s="371">
        <v>0</v>
      </c>
      <c r="BP132" s="372"/>
      <c r="BQ132" s="373"/>
      <c r="BR132" s="374"/>
      <c r="BS132" s="375"/>
      <c r="BT132" s="371">
        <f>SUM(L132:BO132)</f>
        <v>1396181</v>
      </c>
      <c r="BU132" s="372"/>
      <c r="BV132" s="373"/>
      <c r="BW132" s="9"/>
      <c r="BZ132" s="10"/>
      <c r="CA132" s="10"/>
    </row>
    <row r="133" spans="4:79" ht="12.75" customHeight="1" x14ac:dyDescent="0.2">
      <c r="D133" s="9" t="s">
        <v>345</v>
      </c>
      <c r="E133" s="374"/>
      <c r="F133" s="156"/>
      <c r="G133" s="373">
        <v>0</v>
      </c>
      <c r="H133" s="377"/>
      <c r="I133" s="373"/>
      <c r="J133" s="374"/>
      <c r="K133" s="156"/>
      <c r="L133" s="373">
        <v>18467</v>
      </c>
      <c r="M133" s="377"/>
      <c r="N133" s="373"/>
      <c r="O133" s="374"/>
      <c r="P133" s="374"/>
      <c r="Q133" s="373">
        <v>0</v>
      </c>
      <c r="R133" s="377"/>
      <c r="S133" s="373"/>
      <c r="T133" s="374"/>
      <c r="U133" s="374"/>
      <c r="V133" s="373">
        <v>0</v>
      </c>
      <c r="W133" s="377"/>
      <c r="X133" s="373"/>
      <c r="Y133" s="374"/>
      <c r="Z133" s="374"/>
      <c r="AA133" s="373">
        <v>0</v>
      </c>
      <c r="AB133" s="377"/>
      <c r="AC133" s="373"/>
      <c r="AD133" s="374"/>
      <c r="AE133" s="374"/>
      <c r="AF133" s="373">
        <v>0</v>
      </c>
      <c r="AG133" s="377"/>
      <c r="AH133" s="373"/>
      <c r="AI133" s="374"/>
      <c r="AJ133" s="374"/>
      <c r="AK133" s="373">
        <v>0</v>
      </c>
      <c r="AL133" s="377"/>
      <c r="AM133" s="373"/>
      <c r="AN133" s="374"/>
      <c r="AO133" s="374"/>
      <c r="AP133" s="373">
        <v>0</v>
      </c>
      <c r="AQ133" s="377"/>
      <c r="AR133" s="373"/>
      <c r="AS133" s="374"/>
      <c r="AT133" s="374"/>
      <c r="AU133" s="373">
        <v>0</v>
      </c>
      <c r="AV133" s="377"/>
      <c r="AW133" s="373"/>
      <c r="AX133" s="374"/>
      <c r="AY133" s="374"/>
      <c r="AZ133" s="373">
        <v>0</v>
      </c>
      <c r="BA133" s="377"/>
      <c r="BB133" s="373"/>
      <c r="BC133" s="374"/>
      <c r="BD133" s="374"/>
      <c r="BE133" s="373">
        <v>0</v>
      </c>
      <c r="BF133" s="377"/>
      <c r="BG133" s="373"/>
      <c r="BH133" s="374"/>
      <c r="BI133" s="374"/>
      <c r="BJ133" s="373">
        <v>0</v>
      </c>
      <c r="BK133" s="377"/>
      <c r="BL133" s="373"/>
      <c r="BM133" s="374"/>
      <c r="BN133" s="374"/>
      <c r="BO133" s="373">
        <v>0</v>
      </c>
      <c r="BP133" s="377"/>
      <c r="BQ133" s="373"/>
      <c r="BR133" s="374"/>
      <c r="BS133" s="374"/>
      <c r="BT133" s="373">
        <f>SUM(L133:BO133)</f>
        <v>18467</v>
      </c>
      <c r="BU133" s="377"/>
      <c r="BV133" s="373"/>
      <c r="BW133" s="9"/>
      <c r="BZ133" s="10"/>
      <c r="CA133" s="10"/>
    </row>
    <row r="134" spans="4:79" ht="12.75" customHeight="1" x14ac:dyDescent="0.2">
      <c r="D134" s="9" t="s">
        <v>346</v>
      </c>
      <c r="E134" s="374"/>
      <c r="F134" s="156"/>
      <c r="G134" s="373">
        <v>0</v>
      </c>
      <c r="H134" s="377"/>
      <c r="I134" s="373"/>
      <c r="J134" s="374"/>
      <c r="K134" s="156"/>
      <c r="L134" s="373">
        <v>-4648</v>
      </c>
      <c r="M134" s="377"/>
      <c r="N134" s="373"/>
      <c r="O134" s="374"/>
      <c r="P134" s="374"/>
      <c r="Q134" s="373">
        <v>0</v>
      </c>
      <c r="R134" s="377"/>
      <c r="S134" s="373"/>
      <c r="T134" s="374"/>
      <c r="U134" s="374"/>
      <c r="V134" s="373">
        <v>0</v>
      </c>
      <c r="W134" s="377"/>
      <c r="X134" s="373"/>
      <c r="Y134" s="374"/>
      <c r="Z134" s="374"/>
      <c r="AA134" s="373">
        <v>0</v>
      </c>
      <c r="AB134" s="377"/>
      <c r="AC134" s="373"/>
      <c r="AD134" s="374"/>
      <c r="AE134" s="374"/>
      <c r="AF134" s="373">
        <v>0</v>
      </c>
      <c r="AG134" s="377"/>
      <c r="AH134" s="373"/>
      <c r="AI134" s="374"/>
      <c r="AJ134" s="374"/>
      <c r="AK134" s="373">
        <v>0</v>
      </c>
      <c r="AL134" s="377"/>
      <c r="AM134" s="373"/>
      <c r="AN134" s="374"/>
      <c r="AO134" s="374"/>
      <c r="AP134" s="373">
        <v>0</v>
      </c>
      <c r="AQ134" s="377"/>
      <c r="AR134" s="373"/>
      <c r="AS134" s="374"/>
      <c r="AT134" s="374"/>
      <c r="AU134" s="373">
        <v>0</v>
      </c>
      <c r="AV134" s="377"/>
      <c r="AW134" s="373"/>
      <c r="AX134" s="374"/>
      <c r="AY134" s="374"/>
      <c r="AZ134" s="373">
        <v>0</v>
      </c>
      <c r="BA134" s="377"/>
      <c r="BB134" s="373"/>
      <c r="BC134" s="374"/>
      <c r="BD134" s="374"/>
      <c r="BE134" s="373">
        <v>0</v>
      </c>
      <c r="BF134" s="377"/>
      <c r="BG134" s="373"/>
      <c r="BH134" s="374"/>
      <c r="BI134" s="374"/>
      <c r="BJ134" s="373">
        <v>0</v>
      </c>
      <c r="BK134" s="377"/>
      <c r="BL134" s="373"/>
      <c r="BM134" s="374"/>
      <c r="BN134" s="374"/>
      <c r="BO134" s="373">
        <v>0</v>
      </c>
      <c r="BP134" s="377"/>
      <c r="BQ134" s="373"/>
      <c r="BR134" s="374"/>
      <c r="BS134" s="374"/>
      <c r="BT134" s="373">
        <f>SUM(L134:BO134)</f>
        <v>-4648</v>
      </c>
      <c r="BU134" s="377"/>
      <c r="BV134" s="373"/>
      <c r="BW134" s="9"/>
      <c r="BZ134" s="10"/>
      <c r="CA134" s="10"/>
    </row>
    <row r="135" spans="4:79" ht="12.75" customHeight="1" x14ac:dyDescent="0.2">
      <c r="D135" s="9" t="s">
        <v>347</v>
      </c>
      <c r="F135" s="320"/>
      <c r="G135" s="385">
        <v>0</v>
      </c>
      <c r="H135" s="386"/>
      <c r="I135" s="373"/>
      <c r="J135" s="374"/>
      <c r="K135" s="320"/>
      <c r="L135" s="385">
        <v>881175</v>
      </c>
      <c r="M135" s="386"/>
      <c r="N135" s="373"/>
      <c r="O135" s="374"/>
      <c r="P135" s="387"/>
      <c r="Q135" s="385">
        <v>0</v>
      </c>
      <c r="R135" s="386"/>
      <c r="S135" s="373"/>
      <c r="T135" s="374"/>
      <c r="U135" s="387"/>
      <c r="V135" s="385">
        <v>0</v>
      </c>
      <c r="W135" s="386"/>
      <c r="X135" s="373"/>
      <c r="Y135" s="374"/>
      <c r="Z135" s="387"/>
      <c r="AA135" s="385">
        <v>0</v>
      </c>
      <c r="AB135" s="386"/>
      <c r="AC135" s="373"/>
      <c r="AD135" s="374"/>
      <c r="AE135" s="387"/>
      <c r="AF135" s="385">
        <v>0</v>
      </c>
      <c r="AG135" s="386"/>
      <c r="AH135" s="373"/>
      <c r="AI135" s="374"/>
      <c r="AJ135" s="387"/>
      <c r="AK135" s="385">
        <v>0</v>
      </c>
      <c r="AL135" s="386"/>
      <c r="AM135" s="373"/>
      <c r="AN135" s="374"/>
      <c r="AO135" s="387"/>
      <c r="AP135" s="385">
        <v>0</v>
      </c>
      <c r="AQ135" s="386"/>
      <c r="AR135" s="373"/>
      <c r="AS135" s="374"/>
      <c r="AT135" s="387"/>
      <c r="AU135" s="385">
        <v>0</v>
      </c>
      <c r="AV135" s="386"/>
      <c r="AW135" s="373"/>
      <c r="AX135" s="374"/>
      <c r="AY135" s="387"/>
      <c r="AZ135" s="385">
        <v>0</v>
      </c>
      <c r="BA135" s="386"/>
      <c r="BB135" s="373"/>
      <c r="BC135" s="374"/>
      <c r="BD135" s="387"/>
      <c r="BE135" s="385">
        <v>0</v>
      </c>
      <c r="BF135" s="386"/>
      <c r="BG135" s="373"/>
      <c r="BH135" s="374"/>
      <c r="BI135" s="387"/>
      <c r="BJ135" s="385">
        <v>0</v>
      </c>
      <c r="BK135" s="386"/>
      <c r="BL135" s="373"/>
      <c r="BM135" s="374"/>
      <c r="BN135" s="387"/>
      <c r="BO135" s="385">
        <v>0</v>
      </c>
      <c r="BP135" s="386"/>
      <c r="BQ135" s="373"/>
      <c r="BR135" s="374"/>
      <c r="BS135" s="387"/>
      <c r="BT135" s="385">
        <f>SUM(L135:BO135)</f>
        <v>881175</v>
      </c>
      <c r="BU135" s="386"/>
      <c r="BV135" s="373"/>
      <c r="BW135" s="9"/>
      <c r="BZ135" s="10"/>
      <c r="CA135" s="10"/>
    </row>
    <row r="136" spans="4:79" ht="12.75" customHeight="1" x14ac:dyDescent="0.2">
      <c r="D136" s="9"/>
      <c r="G136" s="373"/>
      <c r="H136" s="373"/>
      <c r="I136" s="373"/>
      <c r="J136" s="374"/>
      <c r="K136" s="373"/>
      <c r="L136" s="373"/>
      <c r="M136" s="373"/>
      <c r="N136" s="373"/>
      <c r="O136" s="374"/>
      <c r="P136" s="373"/>
      <c r="Q136" s="373"/>
      <c r="R136" s="373"/>
      <c r="S136" s="373"/>
      <c r="T136" s="374"/>
      <c r="U136" s="373"/>
      <c r="V136" s="373"/>
      <c r="W136" s="373"/>
      <c r="X136" s="373"/>
      <c r="Y136" s="374"/>
      <c r="Z136" s="373"/>
      <c r="AA136" s="373"/>
      <c r="AB136" s="373"/>
      <c r="AC136" s="373"/>
      <c r="AD136" s="374"/>
      <c r="AE136" s="373"/>
      <c r="AF136" s="373"/>
      <c r="AG136" s="373"/>
      <c r="AH136" s="373"/>
      <c r="AI136" s="374"/>
      <c r="AJ136" s="373"/>
      <c r="AK136" s="373"/>
      <c r="AL136" s="373"/>
      <c r="AM136" s="373"/>
      <c r="AN136" s="374"/>
      <c r="AO136" s="373"/>
      <c r="AP136" s="373"/>
      <c r="AQ136" s="373"/>
      <c r="AR136" s="373"/>
      <c r="AS136" s="374"/>
      <c r="AT136" s="373"/>
      <c r="AU136" s="373"/>
      <c r="AV136" s="373"/>
      <c r="AW136" s="373"/>
      <c r="AX136" s="374"/>
      <c r="AY136" s="373"/>
      <c r="AZ136" s="373"/>
      <c r="BA136" s="373"/>
      <c r="BB136" s="373"/>
      <c r="BC136" s="374"/>
      <c r="BD136" s="373"/>
      <c r="BE136" s="373"/>
      <c r="BF136" s="373"/>
      <c r="BG136" s="373"/>
      <c r="BH136" s="374"/>
      <c r="BI136" s="373"/>
      <c r="BJ136" s="373"/>
      <c r="BK136" s="373"/>
      <c r="BL136" s="373"/>
      <c r="BM136" s="374"/>
      <c r="BN136" s="373"/>
      <c r="BO136" s="373"/>
      <c r="BP136" s="373"/>
      <c r="BQ136" s="373"/>
      <c r="BR136" s="374"/>
      <c r="BS136" s="373"/>
      <c r="BT136" s="373"/>
      <c r="BU136" s="373"/>
      <c r="BV136" s="373"/>
      <c r="BW136" s="9"/>
      <c r="BZ136" s="10"/>
      <c r="CA136" s="10"/>
    </row>
    <row r="137" spans="4:79" ht="12.75" customHeight="1" x14ac:dyDescent="0.2">
      <c r="D137" s="9" t="s">
        <v>369</v>
      </c>
      <c r="G137" s="373">
        <f>SUM(G138:G140)</f>
        <v>0</v>
      </c>
      <c r="H137" s="373"/>
      <c r="I137" s="373"/>
      <c r="J137" s="374"/>
      <c r="K137" s="373"/>
      <c r="L137" s="373">
        <f>SUM(L138:L140)</f>
        <v>0</v>
      </c>
      <c r="M137" s="373"/>
      <c r="N137" s="373"/>
      <c r="O137" s="374"/>
      <c r="P137" s="373"/>
      <c r="Q137" s="373">
        <f>SUM(Q138:Q140)</f>
        <v>0</v>
      </c>
      <c r="R137" s="373"/>
      <c r="S137" s="373"/>
      <c r="T137" s="374"/>
      <c r="U137" s="373"/>
      <c r="V137" s="373">
        <f>SUM(V138:V140)</f>
        <v>0</v>
      </c>
      <c r="W137" s="373"/>
      <c r="X137" s="373"/>
      <c r="Y137" s="374"/>
      <c r="Z137" s="373"/>
      <c r="AA137" s="373">
        <f>SUM(AA138:AA140)</f>
        <v>0</v>
      </c>
      <c r="AB137" s="373"/>
      <c r="AC137" s="373"/>
      <c r="AD137" s="374"/>
      <c r="AE137" s="373"/>
      <c r="AF137" s="373">
        <f>SUM(AF138:AF140)</f>
        <v>0</v>
      </c>
      <c r="AG137" s="373"/>
      <c r="AH137" s="373"/>
      <c r="AI137" s="374"/>
      <c r="AJ137" s="373"/>
      <c r="AK137" s="373">
        <f>SUM(AK138:AK140)</f>
        <v>0</v>
      </c>
      <c r="AL137" s="373"/>
      <c r="AM137" s="373"/>
      <c r="AN137" s="374"/>
      <c r="AO137" s="373"/>
      <c r="AP137" s="373">
        <f>SUM(AP138:AP140)</f>
        <v>0</v>
      </c>
      <c r="AQ137" s="373"/>
      <c r="AR137" s="373"/>
      <c r="AS137" s="374"/>
      <c r="AT137" s="373"/>
      <c r="AU137" s="373">
        <f>SUM(AU138:AU140)</f>
        <v>0</v>
      </c>
      <c r="AV137" s="373"/>
      <c r="AW137" s="373"/>
      <c r="AX137" s="374"/>
      <c r="AY137" s="373"/>
      <c r="AZ137" s="373">
        <f>SUM(AZ138:AZ140)</f>
        <v>3976000</v>
      </c>
      <c r="BA137" s="373"/>
      <c r="BB137" s="373"/>
      <c r="BC137" s="374"/>
      <c r="BD137" s="373"/>
      <c r="BE137" s="373">
        <f>SUM(BE138:BE140)</f>
        <v>0</v>
      </c>
      <c r="BF137" s="373"/>
      <c r="BG137" s="373"/>
      <c r="BH137" s="374"/>
      <c r="BI137" s="373"/>
      <c r="BJ137" s="373">
        <f>SUM(BJ138:BJ140)</f>
        <v>0</v>
      </c>
      <c r="BK137" s="373"/>
      <c r="BL137" s="373"/>
      <c r="BM137" s="374"/>
      <c r="BN137" s="373"/>
      <c r="BO137" s="373">
        <f>SUM(BO138:BO140)</f>
        <v>0</v>
      </c>
      <c r="BP137" s="373"/>
      <c r="BQ137" s="373"/>
      <c r="BR137" s="374"/>
      <c r="BS137" s="373"/>
      <c r="BT137" s="373">
        <f>SUM(BT138:BT140)</f>
        <v>3976000</v>
      </c>
      <c r="BU137" s="373"/>
      <c r="BV137" s="373"/>
      <c r="BW137" s="9"/>
      <c r="BZ137" s="10"/>
      <c r="CA137" s="10"/>
    </row>
    <row r="138" spans="4:79" ht="12.75" customHeight="1" x14ac:dyDescent="0.2">
      <c r="D138" s="9" t="s">
        <v>343</v>
      </c>
      <c r="F138" s="309"/>
      <c r="G138" s="371">
        <v>0</v>
      </c>
      <c r="H138" s="372"/>
      <c r="I138" s="373"/>
      <c r="J138" s="374"/>
      <c r="K138" s="309"/>
      <c r="L138" s="371">
        <v>0</v>
      </c>
      <c r="M138" s="372"/>
      <c r="N138" s="373"/>
      <c r="O138" s="374"/>
      <c r="P138" s="309"/>
      <c r="Q138" s="371">
        <v>0</v>
      </c>
      <c r="R138" s="372"/>
      <c r="S138" s="373"/>
      <c r="T138" s="374"/>
      <c r="U138" s="309"/>
      <c r="V138" s="371">
        <v>0</v>
      </c>
      <c r="W138" s="372"/>
      <c r="X138" s="373"/>
      <c r="Y138" s="374"/>
      <c r="Z138" s="309"/>
      <c r="AA138" s="371">
        <v>0</v>
      </c>
      <c r="AB138" s="372"/>
      <c r="AC138" s="373"/>
      <c r="AD138" s="374"/>
      <c r="AE138" s="309"/>
      <c r="AF138" s="371">
        <v>0</v>
      </c>
      <c r="AG138" s="372"/>
      <c r="AH138" s="373"/>
      <c r="AI138" s="374"/>
      <c r="AJ138" s="309"/>
      <c r="AK138" s="371">
        <v>0</v>
      </c>
      <c r="AL138" s="372"/>
      <c r="AM138" s="373"/>
      <c r="AN138" s="374"/>
      <c r="AO138" s="309"/>
      <c r="AP138" s="371">
        <v>0</v>
      </c>
      <c r="AQ138" s="372"/>
      <c r="AR138" s="373"/>
      <c r="AS138" s="374"/>
      <c r="AT138" s="375"/>
      <c r="AU138" s="371">
        <v>0</v>
      </c>
      <c r="AV138" s="372"/>
      <c r="AW138" s="373"/>
      <c r="AX138" s="374"/>
      <c r="AY138" s="375"/>
      <c r="AZ138" s="371">
        <f>3976000-641745</f>
        <v>3334255</v>
      </c>
      <c r="BA138" s="372"/>
      <c r="BB138" s="373"/>
      <c r="BC138" s="374"/>
      <c r="BD138" s="375"/>
      <c r="BE138" s="371">
        <v>0</v>
      </c>
      <c r="BF138" s="372"/>
      <c r="BG138" s="373"/>
      <c r="BH138" s="374"/>
      <c r="BI138" s="375"/>
      <c r="BJ138" s="371">
        <v>0</v>
      </c>
      <c r="BK138" s="372"/>
      <c r="BL138" s="373"/>
      <c r="BM138" s="374"/>
      <c r="BN138" s="375"/>
      <c r="BO138" s="371">
        <v>0</v>
      </c>
      <c r="BP138" s="372"/>
      <c r="BQ138" s="373"/>
      <c r="BR138" s="374"/>
      <c r="BS138" s="375"/>
      <c r="BT138" s="371">
        <f>SUM(L138:BO138)</f>
        <v>3334255</v>
      </c>
      <c r="BU138" s="372"/>
      <c r="BV138" s="373"/>
      <c r="BW138" s="9"/>
      <c r="BZ138" s="10"/>
      <c r="CA138" s="10"/>
    </row>
    <row r="139" spans="4:79" ht="12.75" customHeight="1" x14ac:dyDescent="0.2">
      <c r="D139" s="9" t="s">
        <v>345</v>
      </c>
      <c r="F139" s="156"/>
      <c r="G139" s="373">
        <v>0</v>
      </c>
      <c r="H139" s="377"/>
      <c r="I139" s="373"/>
      <c r="J139" s="374"/>
      <c r="K139" s="156"/>
      <c r="L139" s="373">
        <v>0</v>
      </c>
      <c r="M139" s="377"/>
      <c r="N139" s="373"/>
      <c r="O139" s="374"/>
      <c r="P139" s="156"/>
      <c r="Q139" s="373">
        <v>0</v>
      </c>
      <c r="R139" s="377"/>
      <c r="S139" s="373"/>
      <c r="T139" s="374"/>
      <c r="U139" s="156"/>
      <c r="V139" s="373">
        <v>0</v>
      </c>
      <c r="W139" s="377"/>
      <c r="X139" s="373"/>
      <c r="Y139" s="374"/>
      <c r="Z139" s="156"/>
      <c r="AA139" s="373">
        <v>0</v>
      </c>
      <c r="AB139" s="377"/>
      <c r="AC139" s="373"/>
      <c r="AD139" s="374"/>
      <c r="AE139" s="156"/>
      <c r="AF139" s="373">
        <v>0</v>
      </c>
      <c r="AG139" s="377"/>
      <c r="AH139" s="373"/>
      <c r="AI139" s="374"/>
      <c r="AJ139" s="156"/>
      <c r="AK139" s="373">
        <v>0</v>
      </c>
      <c r="AL139" s="377"/>
      <c r="AM139" s="373"/>
      <c r="AN139" s="374"/>
      <c r="AO139" s="156"/>
      <c r="AP139" s="373">
        <v>0</v>
      </c>
      <c r="AQ139" s="377"/>
      <c r="AR139" s="373"/>
      <c r="AS139" s="374"/>
      <c r="AT139" s="374"/>
      <c r="AU139" s="373">
        <v>0</v>
      </c>
      <c r="AV139" s="377"/>
      <c r="AW139" s="373"/>
      <c r="AX139" s="374"/>
      <c r="AY139" s="374"/>
      <c r="AZ139" s="373">
        <v>641745</v>
      </c>
      <c r="BA139" s="377"/>
      <c r="BB139" s="373"/>
      <c r="BC139" s="374"/>
      <c r="BD139" s="374"/>
      <c r="BE139" s="373">
        <v>0</v>
      </c>
      <c r="BF139" s="377"/>
      <c r="BG139" s="373"/>
      <c r="BH139" s="374"/>
      <c r="BI139" s="374"/>
      <c r="BJ139" s="373">
        <v>0</v>
      </c>
      <c r="BK139" s="377"/>
      <c r="BL139" s="373"/>
      <c r="BM139" s="374"/>
      <c r="BN139" s="374"/>
      <c r="BO139" s="373">
        <v>0</v>
      </c>
      <c r="BP139" s="377"/>
      <c r="BQ139" s="373"/>
      <c r="BR139" s="374"/>
      <c r="BS139" s="374"/>
      <c r="BT139" s="373">
        <f>SUM(L139:BO139)</f>
        <v>641745</v>
      </c>
      <c r="BU139" s="377"/>
      <c r="BV139" s="373"/>
      <c r="BW139" s="9"/>
      <c r="BZ139" s="10"/>
      <c r="CA139" s="10"/>
    </row>
    <row r="140" spans="4:79" ht="12.75" customHeight="1" x14ac:dyDescent="0.2">
      <c r="D140" s="9" t="s">
        <v>346</v>
      </c>
      <c r="F140" s="320"/>
      <c r="G140" s="385">
        <v>0</v>
      </c>
      <c r="H140" s="386"/>
      <c r="I140" s="373"/>
      <c r="J140" s="374"/>
      <c r="K140" s="320"/>
      <c r="L140" s="385">
        <v>0</v>
      </c>
      <c r="M140" s="386"/>
      <c r="N140" s="373"/>
      <c r="O140" s="374"/>
      <c r="P140" s="320"/>
      <c r="Q140" s="385">
        <v>0</v>
      </c>
      <c r="R140" s="386"/>
      <c r="S140" s="373"/>
      <c r="T140" s="374"/>
      <c r="U140" s="320"/>
      <c r="V140" s="385">
        <v>0</v>
      </c>
      <c r="W140" s="386"/>
      <c r="X140" s="373"/>
      <c r="Y140" s="374"/>
      <c r="Z140" s="320"/>
      <c r="AA140" s="385">
        <v>0</v>
      </c>
      <c r="AB140" s="386"/>
      <c r="AC140" s="373"/>
      <c r="AD140" s="374"/>
      <c r="AE140" s="320"/>
      <c r="AF140" s="385">
        <v>0</v>
      </c>
      <c r="AG140" s="386"/>
      <c r="AH140" s="373"/>
      <c r="AI140" s="374"/>
      <c r="AJ140" s="320"/>
      <c r="AK140" s="385">
        <v>0</v>
      </c>
      <c r="AL140" s="386"/>
      <c r="AM140" s="373"/>
      <c r="AN140" s="374"/>
      <c r="AO140" s="320"/>
      <c r="AP140" s="385">
        <v>0</v>
      </c>
      <c r="AQ140" s="386"/>
      <c r="AR140" s="373"/>
      <c r="AS140" s="374"/>
      <c r="AT140" s="387"/>
      <c r="AU140" s="385">
        <v>0</v>
      </c>
      <c r="AV140" s="386"/>
      <c r="AW140" s="373"/>
      <c r="AX140" s="374"/>
      <c r="AY140" s="387"/>
      <c r="AZ140" s="385">
        <v>0</v>
      </c>
      <c r="BA140" s="386"/>
      <c r="BB140" s="373"/>
      <c r="BC140" s="374"/>
      <c r="BD140" s="387"/>
      <c r="BE140" s="385">
        <v>0</v>
      </c>
      <c r="BF140" s="386"/>
      <c r="BG140" s="373"/>
      <c r="BH140" s="374"/>
      <c r="BI140" s="387"/>
      <c r="BJ140" s="385">
        <v>0</v>
      </c>
      <c r="BK140" s="386"/>
      <c r="BL140" s="373"/>
      <c r="BM140" s="374"/>
      <c r="BN140" s="387"/>
      <c r="BO140" s="385">
        <v>0</v>
      </c>
      <c r="BP140" s="386"/>
      <c r="BQ140" s="373"/>
      <c r="BR140" s="374"/>
      <c r="BS140" s="387"/>
      <c r="BT140" s="385">
        <f>SUM(L140:BO140)</f>
        <v>0</v>
      </c>
      <c r="BU140" s="386"/>
      <c r="BV140" s="373"/>
      <c r="BW140" s="9"/>
      <c r="BZ140" s="10"/>
      <c r="CA140" s="10"/>
    </row>
    <row r="141" spans="4:79" ht="12.75" hidden="1" customHeight="1" x14ac:dyDescent="0.2">
      <c r="D141" s="9"/>
      <c r="G141" s="373"/>
      <c r="H141" s="373"/>
      <c r="I141" s="373"/>
      <c r="J141" s="374"/>
      <c r="K141" s="373"/>
      <c r="L141" s="373"/>
      <c r="M141" s="373"/>
      <c r="N141" s="373"/>
      <c r="O141" s="374"/>
      <c r="P141" s="373"/>
      <c r="Q141" s="373"/>
      <c r="R141" s="373"/>
      <c r="S141" s="373"/>
      <c r="T141" s="374"/>
      <c r="U141" s="373"/>
      <c r="V141" s="373"/>
      <c r="W141" s="373"/>
      <c r="X141" s="373"/>
      <c r="Y141" s="374"/>
      <c r="Z141" s="373"/>
      <c r="AA141" s="373"/>
      <c r="AB141" s="373"/>
      <c r="AC141" s="373"/>
      <c r="AD141" s="374"/>
      <c r="AE141" s="373"/>
      <c r="AF141" s="373"/>
      <c r="AG141" s="373"/>
      <c r="AH141" s="373"/>
      <c r="AI141" s="374"/>
      <c r="AJ141" s="373"/>
      <c r="AK141" s="373"/>
      <c r="AL141" s="373"/>
      <c r="AM141" s="373"/>
      <c r="AN141" s="374"/>
      <c r="AO141" s="373"/>
      <c r="AP141" s="373"/>
      <c r="AQ141" s="373"/>
      <c r="AR141" s="373"/>
      <c r="AS141" s="374"/>
      <c r="AT141" s="373"/>
      <c r="AU141" s="373"/>
      <c r="AV141" s="373"/>
      <c r="AW141" s="373"/>
      <c r="AX141" s="374"/>
      <c r="AY141" s="373"/>
      <c r="AZ141" s="373"/>
      <c r="BA141" s="373"/>
      <c r="BB141" s="373"/>
      <c r="BC141" s="374"/>
      <c r="BD141" s="373"/>
      <c r="BE141" s="373"/>
      <c r="BF141" s="373"/>
      <c r="BG141" s="373"/>
      <c r="BH141" s="374"/>
      <c r="BI141" s="373"/>
      <c r="BJ141" s="373"/>
      <c r="BK141" s="373"/>
      <c r="BL141" s="373"/>
      <c r="BM141" s="374"/>
      <c r="BN141" s="373"/>
      <c r="BO141" s="373"/>
      <c r="BP141" s="373"/>
      <c r="BQ141" s="373"/>
      <c r="BR141" s="374"/>
      <c r="BS141" s="373"/>
      <c r="BT141" s="373"/>
      <c r="BU141" s="373"/>
      <c r="BV141" s="373"/>
      <c r="BW141" s="9"/>
      <c r="BZ141" s="10"/>
      <c r="CA141" s="10"/>
    </row>
    <row r="142" spans="4:79" ht="12.75" hidden="1" customHeight="1" x14ac:dyDescent="0.2">
      <c r="D142" s="9" t="s">
        <v>370</v>
      </c>
      <c r="G142" s="373">
        <f>SUM(G143:G145)</f>
        <v>0</v>
      </c>
      <c r="H142" s="373"/>
      <c r="I142" s="373"/>
      <c r="J142" s="374"/>
      <c r="K142" s="373"/>
      <c r="L142" s="373">
        <f>SUM(L143:L145)</f>
        <v>0</v>
      </c>
      <c r="M142" s="373"/>
      <c r="N142" s="373"/>
      <c r="O142" s="374"/>
      <c r="P142" s="373"/>
      <c r="Q142" s="373">
        <f>SUM(Q143:Q145)</f>
        <v>0</v>
      </c>
      <c r="R142" s="373"/>
      <c r="S142" s="373"/>
      <c r="T142" s="374"/>
      <c r="U142" s="373"/>
      <c r="V142" s="373">
        <f>SUM(V143:V145)</f>
        <v>0</v>
      </c>
      <c r="W142" s="373"/>
      <c r="X142" s="373"/>
      <c r="Y142" s="374"/>
      <c r="Z142" s="373"/>
      <c r="AA142" s="373">
        <f>SUM(AA143:AA145)</f>
        <v>0</v>
      </c>
      <c r="AB142" s="373"/>
      <c r="AC142" s="373"/>
      <c r="AD142" s="374"/>
      <c r="AE142" s="373"/>
      <c r="AF142" s="373">
        <f>SUM(AF143:AF145)</f>
        <v>0</v>
      </c>
      <c r="AG142" s="373"/>
      <c r="AH142" s="373"/>
      <c r="AI142" s="374"/>
      <c r="AJ142" s="373"/>
      <c r="AK142" s="373">
        <f>SUM(AK143:AK145)</f>
        <v>0</v>
      </c>
      <c r="AL142" s="373"/>
      <c r="AM142" s="373"/>
      <c r="AN142" s="374"/>
      <c r="AO142" s="373"/>
      <c r="AP142" s="373">
        <f>SUM(AP143:AP145)</f>
        <v>0</v>
      </c>
      <c r="AQ142" s="373"/>
      <c r="AR142" s="373"/>
      <c r="AS142" s="374"/>
      <c r="AT142" s="373"/>
      <c r="AU142" s="373">
        <f>SUM(AU143:AU145)</f>
        <v>0</v>
      </c>
      <c r="AV142" s="373"/>
      <c r="AW142" s="373"/>
      <c r="AX142" s="374"/>
      <c r="AY142" s="373"/>
      <c r="AZ142" s="373">
        <f>SUM(AZ143:AZ145)</f>
        <v>0</v>
      </c>
      <c r="BA142" s="373"/>
      <c r="BB142" s="373"/>
      <c r="BC142" s="374"/>
      <c r="BD142" s="373"/>
      <c r="BE142" s="373">
        <f>SUM(BE143:BE145)</f>
        <v>0</v>
      </c>
      <c r="BF142" s="373"/>
      <c r="BG142" s="373"/>
      <c r="BH142" s="374"/>
      <c r="BI142" s="373"/>
      <c r="BJ142" s="373">
        <f>SUM(BJ143:BJ145)</f>
        <v>0</v>
      </c>
      <c r="BK142" s="373"/>
      <c r="BL142" s="373"/>
      <c r="BM142" s="374"/>
      <c r="BN142" s="373"/>
      <c r="BO142" s="373">
        <f>SUM(BO143:BO145)</f>
        <v>0</v>
      </c>
      <c r="BP142" s="373"/>
      <c r="BQ142" s="373"/>
      <c r="BR142" s="374"/>
      <c r="BS142" s="373"/>
      <c r="BT142" s="373">
        <f>SUM(BT143:BT145)</f>
        <v>0</v>
      </c>
      <c r="BU142" s="373"/>
      <c r="BV142" s="373"/>
      <c r="BW142" s="9"/>
      <c r="BZ142" s="10"/>
      <c r="CA142" s="10"/>
    </row>
    <row r="143" spans="4:79" ht="12.75" hidden="1" customHeight="1" x14ac:dyDescent="0.2">
      <c r="D143" s="9" t="s">
        <v>343</v>
      </c>
      <c r="F143" s="309"/>
      <c r="G143" s="371">
        <v>0</v>
      </c>
      <c r="H143" s="372"/>
      <c r="I143" s="373"/>
      <c r="J143" s="374"/>
      <c r="K143" s="375"/>
      <c r="L143" s="371">
        <v>0</v>
      </c>
      <c r="M143" s="372"/>
      <c r="N143" s="373"/>
      <c r="O143" s="374"/>
      <c r="P143" s="375"/>
      <c r="Q143" s="371">
        <v>0</v>
      </c>
      <c r="R143" s="372"/>
      <c r="S143" s="373"/>
      <c r="T143" s="374"/>
      <c r="U143" s="375"/>
      <c r="V143" s="371">
        <v>0</v>
      </c>
      <c r="W143" s="372"/>
      <c r="X143" s="373"/>
      <c r="Y143" s="374"/>
      <c r="Z143" s="375"/>
      <c r="AA143" s="371">
        <v>0</v>
      </c>
      <c r="AB143" s="372"/>
      <c r="AC143" s="373"/>
      <c r="AD143" s="374"/>
      <c r="AE143" s="375"/>
      <c r="AF143" s="371">
        <v>0</v>
      </c>
      <c r="AG143" s="372"/>
      <c r="AH143" s="373"/>
      <c r="AI143" s="374"/>
      <c r="AJ143" s="375"/>
      <c r="AK143" s="371">
        <v>0</v>
      </c>
      <c r="AL143" s="372"/>
      <c r="AM143" s="373"/>
      <c r="AN143" s="374"/>
      <c r="AO143" s="375"/>
      <c r="AP143" s="371">
        <v>0</v>
      </c>
      <c r="AQ143" s="372"/>
      <c r="AR143" s="373"/>
      <c r="AS143" s="374"/>
      <c r="AT143" s="375"/>
      <c r="AU143" s="371">
        <v>0</v>
      </c>
      <c r="AV143" s="372"/>
      <c r="AW143" s="373"/>
      <c r="AX143" s="374"/>
      <c r="AY143" s="375"/>
      <c r="AZ143" s="371">
        <v>0</v>
      </c>
      <c r="BA143" s="372"/>
      <c r="BB143" s="373"/>
      <c r="BC143" s="374"/>
      <c r="BD143" s="375"/>
      <c r="BE143" s="371">
        <v>0</v>
      </c>
      <c r="BF143" s="372"/>
      <c r="BG143" s="373"/>
      <c r="BH143" s="374"/>
      <c r="BI143" s="375"/>
      <c r="BJ143" s="371">
        <v>0</v>
      </c>
      <c r="BK143" s="372"/>
      <c r="BL143" s="373"/>
      <c r="BM143" s="374"/>
      <c r="BN143" s="375"/>
      <c r="BO143" s="371">
        <v>0</v>
      </c>
      <c r="BP143" s="372"/>
      <c r="BQ143" s="373"/>
      <c r="BR143" s="374"/>
      <c r="BS143" s="375"/>
      <c r="BT143" s="371">
        <f>SUM(L143:BO143)</f>
        <v>0</v>
      </c>
      <c r="BU143" s="372"/>
      <c r="BV143" s="373"/>
      <c r="BW143" s="9"/>
      <c r="BZ143" s="10"/>
      <c r="CA143" s="10"/>
    </row>
    <row r="144" spans="4:79" ht="12.75" hidden="1" customHeight="1" x14ac:dyDescent="0.2">
      <c r="D144" s="9" t="s">
        <v>345</v>
      </c>
      <c r="F144" s="156"/>
      <c r="G144" s="373">
        <v>0</v>
      </c>
      <c r="H144" s="377"/>
      <c r="I144" s="373"/>
      <c r="J144" s="374"/>
      <c r="K144" s="374"/>
      <c r="L144" s="373">
        <v>0</v>
      </c>
      <c r="M144" s="377"/>
      <c r="N144" s="373"/>
      <c r="O144" s="374"/>
      <c r="P144" s="374"/>
      <c r="Q144" s="373">
        <v>0</v>
      </c>
      <c r="R144" s="377"/>
      <c r="S144" s="373"/>
      <c r="T144" s="374"/>
      <c r="U144" s="374"/>
      <c r="V144" s="373">
        <v>0</v>
      </c>
      <c r="W144" s="377"/>
      <c r="X144" s="373"/>
      <c r="Y144" s="374"/>
      <c r="Z144" s="374"/>
      <c r="AA144" s="373">
        <v>0</v>
      </c>
      <c r="AB144" s="377"/>
      <c r="AC144" s="373"/>
      <c r="AD144" s="374"/>
      <c r="AE144" s="374"/>
      <c r="AF144" s="373">
        <v>0</v>
      </c>
      <c r="AG144" s="377"/>
      <c r="AH144" s="373"/>
      <c r="AI144" s="374"/>
      <c r="AJ144" s="374"/>
      <c r="AK144" s="373">
        <v>0</v>
      </c>
      <c r="AL144" s="377"/>
      <c r="AM144" s="373"/>
      <c r="AN144" s="374"/>
      <c r="AO144" s="374"/>
      <c r="AP144" s="373">
        <v>0</v>
      </c>
      <c r="AQ144" s="377"/>
      <c r="AR144" s="373"/>
      <c r="AS144" s="374"/>
      <c r="AT144" s="374"/>
      <c r="AU144" s="373">
        <v>0</v>
      </c>
      <c r="AV144" s="377"/>
      <c r="AW144" s="373"/>
      <c r="AX144" s="374"/>
      <c r="AY144" s="374"/>
      <c r="AZ144" s="373">
        <v>0</v>
      </c>
      <c r="BA144" s="377"/>
      <c r="BB144" s="373"/>
      <c r="BC144" s="374"/>
      <c r="BD144" s="374"/>
      <c r="BE144" s="373">
        <v>0</v>
      </c>
      <c r="BF144" s="377"/>
      <c r="BG144" s="373"/>
      <c r="BH144" s="374"/>
      <c r="BI144" s="374"/>
      <c r="BJ144" s="373">
        <v>0</v>
      </c>
      <c r="BK144" s="377"/>
      <c r="BL144" s="373"/>
      <c r="BM144" s="374"/>
      <c r="BN144" s="374"/>
      <c r="BO144" s="373">
        <v>0</v>
      </c>
      <c r="BP144" s="377"/>
      <c r="BQ144" s="373"/>
      <c r="BR144" s="374"/>
      <c r="BS144" s="374"/>
      <c r="BT144" s="373">
        <f>SUM(L144:BO144)</f>
        <v>0</v>
      </c>
      <c r="BU144" s="377"/>
      <c r="BV144" s="373"/>
      <c r="BW144" s="9"/>
      <c r="BZ144" s="10"/>
      <c r="CA144" s="10"/>
    </row>
    <row r="145" spans="4:79" ht="12.75" hidden="1" customHeight="1" x14ac:dyDescent="0.2">
      <c r="D145" s="9" t="s">
        <v>346</v>
      </c>
      <c r="F145" s="320"/>
      <c r="G145" s="385">
        <v>0</v>
      </c>
      <c r="H145" s="386"/>
      <c r="I145" s="373"/>
      <c r="J145" s="374"/>
      <c r="K145" s="387"/>
      <c r="L145" s="385">
        <v>0</v>
      </c>
      <c r="M145" s="386"/>
      <c r="N145" s="373"/>
      <c r="O145" s="374"/>
      <c r="P145" s="387"/>
      <c r="Q145" s="385">
        <v>0</v>
      </c>
      <c r="R145" s="386"/>
      <c r="S145" s="373"/>
      <c r="T145" s="374"/>
      <c r="U145" s="387"/>
      <c r="V145" s="385">
        <v>0</v>
      </c>
      <c r="W145" s="386"/>
      <c r="X145" s="373"/>
      <c r="Y145" s="374"/>
      <c r="Z145" s="387"/>
      <c r="AA145" s="385">
        <v>0</v>
      </c>
      <c r="AB145" s="386"/>
      <c r="AC145" s="373"/>
      <c r="AD145" s="374"/>
      <c r="AE145" s="387"/>
      <c r="AF145" s="385">
        <v>0</v>
      </c>
      <c r="AG145" s="386"/>
      <c r="AH145" s="373"/>
      <c r="AI145" s="374"/>
      <c r="AJ145" s="387"/>
      <c r="AK145" s="385">
        <v>0</v>
      </c>
      <c r="AL145" s="386"/>
      <c r="AM145" s="373"/>
      <c r="AN145" s="374"/>
      <c r="AO145" s="387"/>
      <c r="AP145" s="385">
        <v>0</v>
      </c>
      <c r="AQ145" s="386"/>
      <c r="AR145" s="373"/>
      <c r="AS145" s="374"/>
      <c r="AT145" s="387"/>
      <c r="AU145" s="385">
        <v>0</v>
      </c>
      <c r="AV145" s="386"/>
      <c r="AW145" s="373"/>
      <c r="AX145" s="374"/>
      <c r="AY145" s="387"/>
      <c r="AZ145" s="385">
        <v>0</v>
      </c>
      <c r="BA145" s="386"/>
      <c r="BB145" s="373"/>
      <c r="BC145" s="374"/>
      <c r="BD145" s="387"/>
      <c r="BE145" s="385">
        <v>0</v>
      </c>
      <c r="BF145" s="386"/>
      <c r="BG145" s="373"/>
      <c r="BH145" s="374"/>
      <c r="BI145" s="387"/>
      <c r="BJ145" s="385">
        <v>0</v>
      </c>
      <c r="BK145" s="386"/>
      <c r="BL145" s="373"/>
      <c r="BM145" s="374"/>
      <c r="BN145" s="387"/>
      <c r="BO145" s="385">
        <v>0</v>
      </c>
      <c r="BP145" s="386"/>
      <c r="BQ145" s="373"/>
      <c r="BR145" s="374"/>
      <c r="BS145" s="387"/>
      <c r="BT145" s="385">
        <f>SUM(L145:BO145)</f>
        <v>0</v>
      </c>
      <c r="BU145" s="386"/>
      <c r="BV145" s="373"/>
      <c r="BW145" s="9"/>
      <c r="BZ145" s="10"/>
      <c r="CA145" s="10"/>
    </row>
    <row r="146" spans="4:79" ht="12.75" customHeight="1" x14ac:dyDescent="0.2">
      <c r="D146" s="9"/>
      <c r="G146" s="373"/>
      <c r="H146" s="373"/>
      <c r="I146" s="373"/>
      <c r="J146" s="374"/>
      <c r="K146" s="373"/>
      <c r="L146" s="373"/>
      <c r="M146" s="373"/>
      <c r="N146" s="373"/>
      <c r="O146" s="374"/>
      <c r="P146" s="373"/>
      <c r="Q146" s="373"/>
      <c r="R146" s="373"/>
      <c r="S146" s="373"/>
      <c r="T146" s="374"/>
      <c r="U146" s="373"/>
      <c r="V146" s="373"/>
      <c r="W146" s="373"/>
      <c r="X146" s="373"/>
      <c r="Y146" s="374"/>
      <c r="Z146" s="373"/>
      <c r="AA146" s="373"/>
      <c r="AB146" s="373"/>
      <c r="AC146" s="373"/>
      <c r="AD146" s="374"/>
      <c r="AE146" s="373"/>
      <c r="AF146" s="373"/>
      <c r="AG146" s="373"/>
      <c r="AH146" s="373"/>
      <c r="AI146" s="374"/>
      <c r="AJ146" s="373"/>
      <c r="AK146" s="373"/>
      <c r="AL146" s="373"/>
      <c r="AM146" s="373"/>
      <c r="AN146" s="374"/>
      <c r="AO146" s="373"/>
      <c r="AP146" s="373"/>
      <c r="AQ146" s="373"/>
      <c r="AR146" s="373"/>
      <c r="AS146" s="374"/>
      <c r="AT146" s="373"/>
      <c r="AU146" s="373"/>
      <c r="AV146" s="373"/>
      <c r="AW146" s="373"/>
      <c r="AX146" s="374"/>
      <c r="AY146" s="373"/>
      <c r="AZ146" s="373"/>
      <c r="BA146" s="373"/>
      <c r="BB146" s="373"/>
      <c r="BC146" s="374"/>
      <c r="BD146" s="373"/>
      <c r="BE146" s="373"/>
      <c r="BF146" s="373"/>
      <c r="BG146" s="373"/>
      <c r="BH146" s="374"/>
      <c r="BI146" s="373"/>
      <c r="BJ146" s="373"/>
      <c r="BK146" s="373"/>
      <c r="BL146" s="373"/>
      <c r="BM146" s="374"/>
      <c r="BN146" s="373"/>
      <c r="BO146" s="373"/>
      <c r="BP146" s="373"/>
      <c r="BQ146" s="373"/>
      <c r="BR146" s="374"/>
      <c r="BS146" s="373"/>
      <c r="BT146" s="373"/>
      <c r="BU146" s="373"/>
      <c r="BV146" s="373"/>
      <c r="BW146" s="9"/>
      <c r="BZ146" s="10"/>
      <c r="CA146" s="10"/>
    </row>
    <row r="147" spans="4:79" ht="12.75" customHeight="1" x14ac:dyDescent="0.2">
      <c r="D147" s="9" t="s">
        <v>371</v>
      </c>
      <c r="G147" s="373">
        <f>SUM(G148:G150)</f>
        <v>0</v>
      </c>
      <c r="H147" s="373"/>
      <c r="I147" s="373"/>
      <c r="J147" s="374"/>
      <c r="K147" s="373"/>
      <c r="L147" s="373">
        <f>SUM(L148:L150)</f>
        <v>5260000</v>
      </c>
      <c r="M147" s="373"/>
      <c r="N147" s="373"/>
      <c r="O147" s="374"/>
      <c r="P147" s="373"/>
      <c r="Q147" s="373">
        <f>SUM(Q148:Q150)</f>
        <v>6040000</v>
      </c>
      <c r="R147" s="373"/>
      <c r="S147" s="373"/>
      <c r="T147" s="374"/>
      <c r="U147" s="373"/>
      <c r="V147" s="373">
        <f>SUM(V148:V150)</f>
        <v>0</v>
      </c>
      <c r="W147" s="373"/>
      <c r="X147" s="373"/>
      <c r="Y147" s="374"/>
      <c r="Z147" s="373"/>
      <c r="AA147" s="373">
        <f>SUM(AA148:AA150)</f>
        <v>0</v>
      </c>
      <c r="AB147" s="373"/>
      <c r="AC147" s="373"/>
      <c r="AD147" s="374"/>
      <c r="AE147" s="373"/>
      <c r="AF147" s="373">
        <f>SUM(AF148:AF150)</f>
        <v>0</v>
      </c>
      <c r="AG147" s="373"/>
      <c r="AH147" s="373"/>
      <c r="AI147" s="374"/>
      <c r="AJ147" s="373"/>
      <c r="AK147" s="373">
        <f>SUM(AK148:AK150)</f>
        <v>0</v>
      </c>
      <c r="AL147" s="373"/>
      <c r="AM147" s="373"/>
      <c r="AN147" s="374"/>
      <c r="AO147" s="373"/>
      <c r="AP147" s="373">
        <f>SUM(AP148:AP150)</f>
        <v>0</v>
      </c>
      <c r="AQ147" s="373"/>
      <c r="AR147" s="373"/>
      <c r="AS147" s="374"/>
      <c r="AT147" s="373"/>
      <c r="AU147" s="373">
        <f>SUM(AU148:AU150)</f>
        <v>0</v>
      </c>
      <c r="AV147" s="373"/>
      <c r="AW147" s="373"/>
      <c r="AX147" s="374"/>
      <c r="AY147" s="373"/>
      <c r="AZ147" s="373">
        <f>SUM(AZ148:AZ150)</f>
        <v>0</v>
      </c>
      <c r="BA147" s="373"/>
      <c r="BB147" s="373"/>
      <c r="BC147" s="374"/>
      <c r="BD147" s="373"/>
      <c r="BE147" s="373">
        <f>SUM(BE148:BE150)</f>
        <v>0</v>
      </c>
      <c r="BF147" s="373"/>
      <c r="BG147" s="373"/>
      <c r="BH147" s="374"/>
      <c r="BI147" s="373"/>
      <c r="BJ147" s="373">
        <f>SUM(BJ148:BJ150)</f>
        <v>0</v>
      </c>
      <c r="BK147" s="373"/>
      <c r="BL147" s="373"/>
      <c r="BM147" s="374"/>
      <c r="BN147" s="373"/>
      <c r="BO147" s="373">
        <f>SUM(BO148:BO150)</f>
        <v>0</v>
      </c>
      <c r="BP147" s="373"/>
      <c r="BQ147" s="373"/>
      <c r="BR147" s="374"/>
      <c r="BS147" s="373"/>
      <c r="BT147" s="373">
        <f>SUM(BT148:BT150)</f>
        <v>11300000</v>
      </c>
      <c r="BU147" s="373"/>
      <c r="BV147" s="373"/>
      <c r="BW147" s="9"/>
      <c r="BZ147" s="10"/>
      <c r="CA147" s="10"/>
    </row>
    <row r="148" spans="4:79" ht="12.75" customHeight="1" x14ac:dyDescent="0.2">
      <c r="D148" s="9" t="s">
        <v>343</v>
      </c>
      <c r="F148" s="309"/>
      <c r="G148" s="371">
        <v>0</v>
      </c>
      <c r="H148" s="372"/>
      <c r="I148" s="373"/>
      <c r="J148" s="374"/>
      <c r="K148" s="375"/>
      <c r="L148" s="371">
        <f>5260000+82405</f>
        <v>5342405</v>
      </c>
      <c r="M148" s="372"/>
      <c r="N148" s="373"/>
      <c r="O148" s="374"/>
      <c r="P148" s="375"/>
      <c r="Q148" s="371">
        <f>6040000+364741</f>
        <v>6404741</v>
      </c>
      <c r="R148" s="372"/>
      <c r="S148" s="373"/>
      <c r="T148" s="374"/>
      <c r="U148" s="375"/>
      <c r="V148" s="371">
        <v>0</v>
      </c>
      <c r="W148" s="372"/>
      <c r="X148" s="373"/>
      <c r="Y148" s="374"/>
      <c r="Z148" s="375"/>
      <c r="AA148" s="371">
        <v>0</v>
      </c>
      <c r="AB148" s="372"/>
      <c r="AC148" s="373"/>
      <c r="AD148" s="374"/>
      <c r="AE148" s="375"/>
      <c r="AF148" s="371">
        <v>0</v>
      </c>
      <c r="AG148" s="372"/>
      <c r="AH148" s="373"/>
      <c r="AI148" s="374"/>
      <c r="AJ148" s="375"/>
      <c r="AK148" s="371">
        <v>0</v>
      </c>
      <c r="AL148" s="372"/>
      <c r="AM148" s="373"/>
      <c r="AN148" s="374"/>
      <c r="AO148" s="375"/>
      <c r="AP148" s="371">
        <v>0</v>
      </c>
      <c r="AQ148" s="372"/>
      <c r="AR148" s="373"/>
      <c r="AS148" s="374"/>
      <c r="AT148" s="375"/>
      <c r="AU148" s="371">
        <v>0</v>
      </c>
      <c r="AV148" s="372"/>
      <c r="AW148" s="373"/>
      <c r="AX148" s="374"/>
      <c r="AY148" s="375"/>
      <c r="AZ148" s="371">
        <v>0</v>
      </c>
      <c r="BA148" s="372"/>
      <c r="BB148" s="373"/>
      <c r="BC148" s="374"/>
      <c r="BD148" s="375"/>
      <c r="BE148" s="371">
        <v>0</v>
      </c>
      <c r="BF148" s="372"/>
      <c r="BG148" s="373"/>
      <c r="BH148" s="374"/>
      <c r="BI148" s="375"/>
      <c r="BJ148" s="371">
        <v>0</v>
      </c>
      <c r="BK148" s="372"/>
      <c r="BL148" s="373"/>
      <c r="BM148" s="374"/>
      <c r="BN148" s="375"/>
      <c r="BO148" s="371">
        <v>0</v>
      </c>
      <c r="BP148" s="372"/>
      <c r="BQ148" s="373"/>
      <c r="BR148" s="374"/>
      <c r="BS148" s="375"/>
      <c r="BT148" s="371">
        <f>SUM(L148:BO148)</f>
        <v>11747146</v>
      </c>
      <c r="BU148" s="372"/>
      <c r="BV148" s="373"/>
      <c r="BW148" s="9"/>
      <c r="BZ148" s="10"/>
      <c r="CA148" s="10"/>
    </row>
    <row r="149" spans="4:79" ht="12.75" customHeight="1" x14ac:dyDescent="0.2">
      <c r="D149" s="9" t="s">
        <v>345</v>
      </c>
      <c r="F149" s="156"/>
      <c r="G149" s="373">
        <v>0</v>
      </c>
      <c r="H149" s="377"/>
      <c r="I149" s="373"/>
      <c r="J149" s="374"/>
      <c r="K149" s="374"/>
      <c r="L149" s="373">
        <v>0</v>
      </c>
      <c r="M149" s="377"/>
      <c r="N149" s="373"/>
      <c r="O149" s="374"/>
      <c r="P149" s="374"/>
      <c r="Q149" s="373">
        <v>0</v>
      </c>
      <c r="R149" s="377"/>
      <c r="S149" s="373"/>
      <c r="T149" s="374"/>
      <c r="U149" s="374"/>
      <c r="V149" s="373">
        <v>0</v>
      </c>
      <c r="W149" s="377"/>
      <c r="X149" s="373"/>
      <c r="Y149" s="374"/>
      <c r="Z149" s="374"/>
      <c r="AA149" s="373">
        <v>0</v>
      </c>
      <c r="AB149" s="377"/>
      <c r="AC149" s="373"/>
      <c r="AD149" s="374"/>
      <c r="AE149" s="374"/>
      <c r="AF149" s="373">
        <v>0</v>
      </c>
      <c r="AG149" s="377"/>
      <c r="AH149" s="373"/>
      <c r="AI149" s="374"/>
      <c r="AJ149" s="374"/>
      <c r="AK149" s="373">
        <v>0</v>
      </c>
      <c r="AL149" s="377"/>
      <c r="AM149" s="373"/>
      <c r="AN149" s="374"/>
      <c r="AO149" s="374"/>
      <c r="AP149" s="373">
        <v>0</v>
      </c>
      <c r="AQ149" s="377"/>
      <c r="AR149" s="373"/>
      <c r="AS149" s="374"/>
      <c r="AT149" s="374"/>
      <c r="AU149" s="373">
        <v>0</v>
      </c>
      <c r="AV149" s="377"/>
      <c r="AW149" s="373"/>
      <c r="AX149" s="374"/>
      <c r="AY149" s="374"/>
      <c r="AZ149" s="373">
        <v>0</v>
      </c>
      <c r="BA149" s="377"/>
      <c r="BB149" s="373"/>
      <c r="BC149" s="374"/>
      <c r="BD149" s="374"/>
      <c r="BE149" s="373">
        <v>0</v>
      </c>
      <c r="BF149" s="377"/>
      <c r="BG149" s="373"/>
      <c r="BH149" s="374"/>
      <c r="BI149" s="374"/>
      <c r="BJ149" s="373">
        <v>0</v>
      </c>
      <c r="BK149" s="377"/>
      <c r="BL149" s="373"/>
      <c r="BM149" s="374"/>
      <c r="BN149" s="374"/>
      <c r="BO149" s="373">
        <v>0</v>
      </c>
      <c r="BP149" s="377"/>
      <c r="BQ149" s="373"/>
      <c r="BR149" s="374"/>
      <c r="BS149" s="374"/>
      <c r="BT149" s="373">
        <f>SUM(L149:BO149)</f>
        <v>0</v>
      </c>
      <c r="BU149" s="377"/>
      <c r="BV149" s="373"/>
      <c r="BW149" s="9"/>
      <c r="BZ149" s="10"/>
      <c r="CA149" s="10"/>
    </row>
    <row r="150" spans="4:79" ht="12.75" customHeight="1" x14ac:dyDescent="0.2">
      <c r="D150" s="9" t="s">
        <v>346</v>
      </c>
      <c r="F150" s="320"/>
      <c r="G150" s="385">
        <v>0</v>
      </c>
      <c r="H150" s="386"/>
      <c r="I150" s="373"/>
      <c r="J150" s="374"/>
      <c r="K150" s="387"/>
      <c r="L150" s="385">
        <v>-82405</v>
      </c>
      <c r="M150" s="386"/>
      <c r="N150" s="373"/>
      <c r="O150" s="374"/>
      <c r="P150" s="387"/>
      <c r="Q150" s="385">
        <v>-364741</v>
      </c>
      <c r="R150" s="386"/>
      <c r="S150" s="373"/>
      <c r="T150" s="374"/>
      <c r="U150" s="387"/>
      <c r="V150" s="385">
        <v>0</v>
      </c>
      <c r="W150" s="386"/>
      <c r="X150" s="373"/>
      <c r="Y150" s="374"/>
      <c r="Z150" s="387"/>
      <c r="AA150" s="385">
        <v>0</v>
      </c>
      <c r="AB150" s="386"/>
      <c r="AC150" s="373"/>
      <c r="AD150" s="374"/>
      <c r="AE150" s="387"/>
      <c r="AF150" s="385">
        <v>0</v>
      </c>
      <c r="AG150" s="386"/>
      <c r="AH150" s="373"/>
      <c r="AI150" s="374"/>
      <c r="AJ150" s="387"/>
      <c r="AK150" s="385">
        <v>0</v>
      </c>
      <c r="AL150" s="386"/>
      <c r="AM150" s="373"/>
      <c r="AN150" s="374"/>
      <c r="AO150" s="387"/>
      <c r="AP150" s="385">
        <v>0</v>
      </c>
      <c r="AQ150" s="386"/>
      <c r="AR150" s="373"/>
      <c r="AS150" s="374"/>
      <c r="AT150" s="387"/>
      <c r="AU150" s="385">
        <v>0</v>
      </c>
      <c r="AV150" s="386"/>
      <c r="AW150" s="373"/>
      <c r="AX150" s="374"/>
      <c r="AY150" s="387"/>
      <c r="AZ150" s="385">
        <v>0</v>
      </c>
      <c r="BA150" s="386"/>
      <c r="BB150" s="373"/>
      <c r="BC150" s="374"/>
      <c r="BD150" s="387"/>
      <c r="BE150" s="385">
        <v>0</v>
      </c>
      <c r="BF150" s="386"/>
      <c r="BG150" s="373"/>
      <c r="BH150" s="374"/>
      <c r="BI150" s="387"/>
      <c r="BJ150" s="385">
        <v>0</v>
      </c>
      <c r="BK150" s="386"/>
      <c r="BL150" s="373"/>
      <c r="BM150" s="374"/>
      <c r="BN150" s="387"/>
      <c r="BO150" s="385">
        <v>0</v>
      </c>
      <c r="BP150" s="386"/>
      <c r="BQ150" s="373"/>
      <c r="BR150" s="374"/>
      <c r="BS150" s="387"/>
      <c r="BT150" s="385">
        <f>SUM(L150:BO150)</f>
        <v>-447146</v>
      </c>
      <c r="BU150" s="386"/>
      <c r="BV150" s="373"/>
      <c r="BW150" s="9"/>
      <c r="BZ150" s="10"/>
      <c r="CA150" s="10"/>
    </row>
    <row r="151" spans="4:79" ht="12.75" customHeight="1" x14ac:dyDescent="0.2">
      <c r="D151" s="9"/>
      <c r="G151" s="373"/>
      <c r="H151" s="373"/>
      <c r="I151" s="373"/>
      <c r="J151" s="374"/>
      <c r="K151" s="373"/>
      <c r="L151" s="373"/>
      <c r="M151" s="373"/>
      <c r="N151" s="373"/>
      <c r="O151" s="374"/>
      <c r="P151" s="373"/>
      <c r="Q151" s="373"/>
      <c r="R151" s="373"/>
      <c r="S151" s="373"/>
      <c r="T151" s="374"/>
      <c r="U151" s="373"/>
      <c r="V151" s="373"/>
      <c r="W151" s="373"/>
      <c r="X151" s="373"/>
      <c r="Y151" s="374"/>
      <c r="Z151" s="373"/>
      <c r="AA151" s="373"/>
      <c r="AB151" s="373"/>
      <c r="AC151" s="373"/>
      <c r="AD151" s="374"/>
      <c r="AE151" s="373"/>
      <c r="AF151" s="373"/>
      <c r="AG151" s="373"/>
      <c r="AH151" s="373"/>
      <c r="AI151" s="374"/>
      <c r="AJ151" s="373"/>
      <c r="AK151" s="373"/>
      <c r="AL151" s="373"/>
      <c r="AM151" s="373"/>
      <c r="AN151" s="374"/>
      <c r="AO151" s="373"/>
      <c r="AP151" s="373"/>
      <c r="AQ151" s="373"/>
      <c r="AR151" s="373"/>
      <c r="AS151" s="374"/>
      <c r="AT151" s="373"/>
      <c r="AU151" s="373"/>
      <c r="AV151" s="373"/>
      <c r="AW151" s="373"/>
      <c r="AX151" s="374"/>
      <c r="AY151" s="373"/>
      <c r="AZ151" s="373"/>
      <c r="BA151" s="373"/>
      <c r="BB151" s="373"/>
      <c r="BC151" s="374"/>
      <c r="BD151" s="373"/>
      <c r="BE151" s="373"/>
      <c r="BF151" s="373"/>
      <c r="BG151" s="373"/>
      <c r="BH151" s="374"/>
      <c r="BI151" s="373"/>
      <c r="BJ151" s="373"/>
      <c r="BK151" s="373"/>
      <c r="BL151" s="373"/>
      <c r="BM151" s="374"/>
      <c r="BN151" s="373"/>
      <c r="BO151" s="373"/>
      <c r="BP151" s="373"/>
      <c r="BQ151" s="373"/>
      <c r="BR151" s="374"/>
      <c r="BS151" s="373"/>
      <c r="BT151" s="373"/>
      <c r="BU151" s="373"/>
      <c r="BV151" s="373"/>
      <c r="BW151" s="9"/>
      <c r="BZ151" s="10"/>
      <c r="CA151" s="10"/>
    </row>
    <row r="152" spans="4:79" ht="12.75" customHeight="1" x14ac:dyDescent="0.2">
      <c r="D152" s="9" t="s">
        <v>372</v>
      </c>
      <c r="G152" s="373">
        <f>SUM(G153:G155)</f>
        <v>0</v>
      </c>
      <c r="H152" s="373"/>
      <c r="I152" s="373"/>
      <c r="J152" s="374"/>
      <c r="K152" s="373"/>
      <c r="L152" s="373">
        <f>SUM(L153:L155)</f>
        <v>6792000</v>
      </c>
      <c r="M152" s="373"/>
      <c r="N152" s="373"/>
      <c r="O152" s="374"/>
      <c r="P152" s="373"/>
      <c r="Q152" s="373">
        <f>SUM(Q153:Q155)</f>
        <v>11547000</v>
      </c>
      <c r="R152" s="373"/>
      <c r="S152" s="373"/>
      <c r="T152" s="374"/>
      <c r="U152" s="373"/>
      <c r="V152" s="373">
        <f>SUM(V153:V155)</f>
        <v>15028000</v>
      </c>
      <c r="W152" s="373"/>
      <c r="X152" s="373"/>
      <c r="Y152" s="374"/>
      <c r="Z152" s="373"/>
      <c r="AA152" s="373">
        <f>SUM(AA153:AA155)</f>
        <v>14865000</v>
      </c>
      <c r="AB152" s="373"/>
      <c r="AC152" s="373"/>
      <c r="AD152" s="374"/>
      <c r="AE152" s="373"/>
      <c r="AF152" s="373">
        <f>SUM(AF153:AF155)</f>
        <v>2200000</v>
      </c>
      <c r="AG152" s="373"/>
      <c r="AH152" s="373"/>
      <c r="AI152" s="374"/>
      <c r="AJ152" s="373"/>
      <c r="AK152" s="373">
        <f>SUM(AK153:AK155)</f>
        <v>3111000</v>
      </c>
      <c r="AL152" s="373"/>
      <c r="AM152" s="373"/>
      <c r="AN152" s="374"/>
      <c r="AO152" s="373"/>
      <c r="AP152" s="373">
        <f>SUM(AP153:AP155)</f>
        <v>11827000</v>
      </c>
      <c r="AQ152" s="373"/>
      <c r="AR152" s="373"/>
      <c r="AS152" s="374"/>
      <c r="AT152" s="373"/>
      <c r="AU152" s="373">
        <f>SUM(AU153:AU155)</f>
        <v>8851000</v>
      </c>
      <c r="AV152" s="373"/>
      <c r="AW152" s="373"/>
      <c r="AX152" s="374"/>
      <c r="AY152" s="373"/>
      <c r="AZ152" s="373">
        <f>SUM(AZ153:AZ155)</f>
        <v>6551000</v>
      </c>
      <c r="BA152" s="373"/>
      <c r="BB152" s="373"/>
      <c r="BC152" s="374"/>
      <c r="BD152" s="373"/>
      <c r="BE152" s="373">
        <f>SUM(BE153:BE155)</f>
        <v>6603000</v>
      </c>
      <c r="BF152" s="373"/>
      <c r="BG152" s="373"/>
      <c r="BH152" s="374"/>
      <c r="BI152" s="373"/>
      <c r="BJ152" s="373">
        <f>SUM(BJ153:BJ155)</f>
        <v>0</v>
      </c>
      <c r="BK152" s="373"/>
      <c r="BL152" s="373"/>
      <c r="BM152" s="374"/>
      <c r="BN152" s="373"/>
      <c r="BO152" s="373">
        <f>SUM(BO153:BO155)</f>
        <v>0</v>
      </c>
      <c r="BP152" s="373"/>
      <c r="BQ152" s="373"/>
      <c r="BR152" s="374"/>
      <c r="BS152" s="373"/>
      <c r="BT152" s="373">
        <f>SUM(BT153:BT155)</f>
        <v>87375000</v>
      </c>
      <c r="BU152" s="373"/>
      <c r="BV152" s="373"/>
      <c r="BW152" s="9"/>
      <c r="BZ152" s="10"/>
      <c r="CA152" s="10"/>
    </row>
    <row r="153" spans="4:79" ht="12.75" customHeight="1" x14ac:dyDescent="0.2">
      <c r="D153" s="9" t="s">
        <v>343</v>
      </c>
      <c r="F153" s="309"/>
      <c r="G153" s="371">
        <v>0</v>
      </c>
      <c r="H153" s="372"/>
      <c r="I153" s="373"/>
      <c r="J153" s="374"/>
      <c r="K153" s="375"/>
      <c r="L153" s="371">
        <f>6792000-1194431</f>
        <v>5597569</v>
      </c>
      <c r="M153" s="372"/>
      <c r="N153" s="373"/>
      <c r="O153" s="374"/>
      <c r="P153" s="375"/>
      <c r="Q153" s="371">
        <f>11547000-1251316</f>
        <v>10295684</v>
      </c>
      <c r="R153" s="372"/>
      <c r="S153" s="373"/>
      <c r="T153" s="374"/>
      <c r="U153" s="375"/>
      <c r="V153" s="371">
        <f>15028000-993433</f>
        <v>14034567</v>
      </c>
      <c r="W153" s="372"/>
      <c r="X153" s="373"/>
      <c r="Y153" s="374"/>
      <c r="Z153" s="375"/>
      <c r="AA153" s="371">
        <f>14865000-1307191</f>
        <v>13557809</v>
      </c>
      <c r="AB153" s="372"/>
      <c r="AC153" s="373"/>
      <c r="AD153" s="374"/>
      <c r="AE153" s="375"/>
      <c r="AF153" s="371">
        <f>2200000-172161</f>
        <v>2027839</v>
      </c>
      <c r="AG153" s="372"/>
      <c r="AH153" s="373"/>
      <c r="AI153" s="374"/>
      <c r="AJ153" s="375"/>
      <c r="AK153" s="371">
        <f>3111000-234069</f>
        <v>2876931</v>
      </c>
      <c r="AL153" s="372"/>
      <c r="AM153" s="373"/>
      <c r="AN153" s="374"/>
      <c r="AO153" s="375"/>
      <c r="AP153" s="371">
        <f>11827000-1025025</f>
        <v>10801975</v>
      </c>
      <c r="AQ153" s="372"/>
      <c r="AR153" s="373"/>
      <c r="AS153" s="374"/>
      <c r="AT153" s="375"/>
      <c r="AU153" s="371">
        <f>8851000-578195</f>
        <v>8272805</v>
      </c>
      <c r="AV153" s="372"/>
      <c r="AW153" s="373"/>
      <c r="AX153" s="374"/>
      <c r="AY153" s="375"/>
      <c r="AZ153" s="371">
        <f>6551000-320116</f>
        <v>6230884</v>
      </c>
      <c r="BA153" s="372"/>
      <c r="BB153" s="373"/>
      <c r="BC153" s="374"/>
      <c r="BD153" s="375"/>
      <c r="BE153" s="371">
        <f>6603000-320584</f>
        <v>6282416</v>
      </c>
      <c r="BF153" s="372"/>
      <c r="BG153" s="373"/>
      <c r="BH153" s="374"/>
      <c r="BI153" s="375"/>
      <c r="BJ153" s="371">
        <v>0</v>
      </c>
      <c r="BK153" s="372"/>
      <c r="BL153" s="373"/>
      <c r="BM153" s="374"/>
      <c r="BN153" s="375"/>
      <c r="BO153" s="371">
        <v>0</v>
      </c>
      <c r="BP153" s="372"/>
      <c r="BQ153" s="373"/>
      <c r="BR153" s="374"/>
      <c r="BS153" s="375"/>
      <c r="BT153" s="371">
        <f>SUM(L153:BO153)</f>
        <v>79978479</v>
      </c>
      <c r="BU153" s="372"/>
      <c r="BV153" s="373"/>
      <c r="BW153" s="9"/>
      <c r="BZ153" s="10"/>
      <c r="CA153" s="10"/>
    </row>
    <row r="154" spans="4:79" ht="12.75" customHeight="1" x14ac:dyDescent="0.2">
      <c r="D154" s="9" t="s">
        <v>345</v>
      </c>
      <c r="F154" s="156"/>
      <c r="G154" s="373">
        <v>0</v>
      </c>
      <c r="H154" s="377"/>
      <c r="I154" s="373"/>
      <c r="J154" s="374"/>
      <c r="K154" s="374"/>
      <c r="L154" s="373">
        <v>1194431</v>
      </c>
      <c r="M154" s="377"/>
      <c r="N154" s="373"/>
      <c r="O154" s="374"/>
      <c r="P154" s="374"/>
      <c r="Q154" s="373">
        <v>1251316</v>
      </c>
      <c r="R154" s="377"/>
      <c r="S154" s="373"/>
      <c r="T154" s="374"/>
      <c r="U154" s="374"/>
      <c r="V154" s="373">
        <v>993433</v>
      </c>
      <c r="W154" s="377"/>
      <c r="X154" s="373"/>
      <c r="Y154" s="374"/>
      <c r="Z154" s="374"/>
      <c r="AA154" s="373">
        <v>1307191</v>
      </c>
      <c r="AB154" s="377"/>
      <c r="AC154" s="373"/>
      <c r="AD154" s="374"/>
      <c r="AE154" s="374"/>
      <c r="AF154" s="373">
        <v>172161</v>
      </c>
      <c r="AG154" s="377"/>
      <c r="AH154" s="373"/>
      <c r="AI154" s="374"/>
      <c r="AJ154" s="374"/>
      <c r="AK154" s="373">
        <v>234069</v>
      </c>
      <c r="AL154" s="377"/>
      <c r="AM154" s="373"/>
      <c r="AN154" s="374"/>
      <c r="AO154" s="374"/>
      <c r="AP154" s="373">
        <v>1025025</v>
      </c>
      <c r="AQ154" s="377"/>
      <c r="AR154" s="373"/>
      <c r="AS154" s="374"/>
      <c r="AT154" s="374"/>
      <c r="AU154" s="373">
        <v>578195</v>
      </c>
      <c r="AV154" s="377"/>
      <c r="AW154" s="373"/>
      <c r="AX154" s="374"/>
      <c r="AY154" s="374"/>
      <c r="AZ154" s="373">
        <v>320116</v>
      </c>
      <c r="BA154" s="377"/>
      <c r="BB154" s="373"/>
      <c r="BC154" s="374"/>
      <c r="BD154" s="374"/>
      <c r="BE154" s="373">
        <v>320584</v>
      </c>
      <c r="BF154" s="377"/>
      <c r="BG154" s="373"/>
      <c r="BH154" s="374"/>
      <c r="BI154" s="374"/>
      <c r="BJ154" s="373">
        <v>0</v>
      </c>
      <c r="BK154" s="377"/>
      <c r="BL154" s="373"/>
      <c r="BM154" s="374"/>
      <c r="BN154" s="374"/>
      <c r="BO154" s="373">
        <v>0</v>
      </c>
      <c r="BP154" s="377"/>
      <c r="BQ154" s="373"/>
      <c r="BR154" s="374"/>
      <c r="BS154" s="374"/>
      <c r="BT154" s="373">
        <f>SUM(L154:BO154)</f>
        <v>7396521</v>
      </c>
      <c r="BU154" s="377"/>
      <c r="BV154" s="373"/>
      <c r="BW154" s="9"/>
      <c r="BZ154" s="10"/>
      <c r="CA154" s="10"/>
    </row>
    <row r="155" spans="4:79" ht="12.75" customHeight="1" x14ac:dyDescent="0.2">
      <c r="D155" s="9" t="s">
        <v>346</v>
      </c>
      <c r="F155" s="320"/>
      <c r="G155" s="385">
        <v>0</v>
      </c>
      <c r="H155" s="386"/>
      <c r="I155" s="373"/>
      <c r="J155" s="374"/>
      <c r="K155" s="387"/>
      <c r="L155" s="385">
        <v>0</v>
      </c>
      <c r="M155" s="386"/>
      <c r="N155" s="373"/>
      <c r="O155" s="374"/>
      <c r="P155" s="387"/>
      <c r="Q155" s="385">
        <v>0</v>
      </c>
      <c r="R155" s="386"/>
      <c r="S155" s="373"/>
      <c r="T155" s="374"/>
      <c r="U155" s="387"/>
      <c r="V155" s="385">
        <v>0</v>
      </c>
      <c r="W155" s="386"/>
      <c r="X155" s="373"/>
      <c r="Y155" s="374"/>
      <c r="Z155" s="387"/>
      <c r="AA155" s="385">
        <v>0</v>
      </c>
      <c r="AB155" s="386"/>
      <c r="AC155" s="373"/>
      <c r="AD155" s="374"/>
      <c r="AE155" s="387"/>
      <c r="AF155" s="385">
        <v>0</v>
      </c>
      <c r="AG155" s="386"/>
      <c r="AH155" s="373"/>
      <c r="AI155" s="374"/>
      <c r="AJ155" s="387"/>
      <c r="AK155" s="385">
        <v>0</v>
      </c>
      <c r="AL155" s="386"/>
      <c r="AM155" s="373"/>
      <c r="AN155" s="374"/>
      <c r="AO155" s="387"/>
      <c r="AP155" s="385">
        <v>0</v>
      </c>
      <c r="AQ155" s="386"/>
      <c r="AR155" s="373"/>
      <c r="AS155" s="374"/>
      <c r="AT155" s="387"/>
      <c r="AU155" s="385">
        <v>0</v>
      </c>
      <c r="AV155" s="386"/>
      <c r="AW155" s="373"/>
      <c r="AX155" s="374"/>
      <c r="AY155" s="387"/>
      <c r="AZ155" s="385">
        <v>0</v>
      </c>
      <c r="BA155" s="386"/>
      <c r="BB155" s="373"/>
      <c r="BC155" s="374"/>
      <c r="BD155" s="387"/>
      <c r="BE155" s="385">
        <v>0</v>
      </c>
      <c r="BF155" s="386"/>
      <c r="BG155" s="373"/>
      <c r="BH155" s="374"/>
      <c r="BI155" s="387"/>
      <c r="BJ155" s="385">
        <v>0</v>
      </c>
      <c r="BK155" s="386"/>
      <c r="BL155" s="373"/>
      <c r="BM155" s="374"/>
      <c r="BN155" s="387"/>
      <c r="BO155" s="385">
        <v>0</v>
      </c>
      <c r="BP155" s="386"/>
      <c r="BQ155" s="373"/>
      <c r="BR155" s="374"/>
      <c r="BS155" s="387"/>
      <c r="BT155" s="385">
        <f>SUM(L155:BO155)</f>
        <v>0</v>
      </c>
      <c r="BU155" s="386"/>
      <c r="BV155" s="373"/>
      <c r="BW155" s="9"/>
      <c r="BZ155" s="10"/>
      <c r="CA155" s="10"/>
    </row>
    <row r="156" spans="4:79" ht="12.75" customHeight="1" x14ac:dyDescent="0.2">
      <c r="D156" s="9"/>
      <c r="G156" s="373"/>
      <c r="H156" s="373"/>
      <c r="I156" s="373"/>
      <c r="J156" s="374"/>
      <c r="K156" s="373"/>
      <c r="L156" s="373"/>
      <c r="M156" s="373"/>
      <c r="N156" s="373"/>
      <c r="O156" s="374"/>
      <c r="P156" s="373"/>
      <c r="Q156" s="373"/>
      <c r="R156" s="373"/>
      <c r="S156" s="373"/>
      <c r="T156" s="374"/>
      <c r="U156" s="373"/>
      <c r="V156" s="373"/>
      <c r="W156" s="373"/>
      <c r="X156" s="373"/>
      <c r="Y156" s="374"/>
      <c r="Z156" s="373"/>
      <c r="AA156" s="373"/>
      <c r="AB156" s="373"/>
      <c r="AC156" s="373"/>
      <c r="AD156" s="374"/>
      <c r="AE156" s="373"/>
      <c r="AF156" s="373"/>
      <c r="AG156" s="373"/>
      <c r="AH156" s="373"/>
      <c r="AI156" s="374"/>
      <c r="AJ156" s="373"/>
      <c r="AK156" s="373"/>
      <c r="AL156" s="373"/>
      <c r="AM156" s="373"/>
      <c r="AN156" s="374"/>
      <c r="AO156" s="373"/>
      <c r="AP156" s="373"/>
      <c r="AQ156" s="373"/>
      <c r="AR156" s="373"/>
      <c r="AS156" s="374"/>
      <c r="AT156" s="373"/>
      <c r="AU156" s="373"/>
      <c r="AV156" s="373"/>
      <c r="AW156" s="373"/>
      <c r="AX156" s="374"/>
      <c r="AY156" s="373"/>
      <c r="AZ156" s="373"/>
      <c r="BA156" s="373"/>
      <c r="BB156" s="373"/>
      <c r="BC156" s="374"/>
      <c r="BD156" s="373"/>
      <c r="BE156" s="373"/>
      <c r="BF156" s="373"/>
      <c r="BG156" s="373"/>
      <c r="BH156" s="374"/>
      <c r="BI156" s="373"/>
      <c r="BJ156" s="373"/>
      <c r="BK156" s="373"/>
      <c r="BL156" s="373"/>
      <c r="BM156" s="374"/>
      <c r="BN156" s="373"/>
      <c r="BO156" s="373"/>
      <c r="BP156" s="373"/>
      <c r="BQ156" s="373"/>
      <c r="BR156" s="374"/>
      <c r="BS156" s="373"/>
      <c r="BT156" s="373"/>
      <c r="BU156" s="373"/>
      <c r="BV156" s="373"/>
      <c r="BW156" s="9"/>
      <c r="BZ156" s="10"/>
      <c r="CA156" s="10"/>
    </row>
    <row r="157" spans="4:79" ht="12.75" customHeight="1" x14ac:dyDescent="0.2">
      <c r="D157" s="9" t="s">
        <v>373</v>
      </c>
      <c r="G157" s="373">
        <f>SUM(G158:G160)</f>
        <v>0</v>
      </c>
      <c r="H157" s="373"/>
      <c r="I157" s="373"/>
      <c r="J157" s="374"/>
      <c r="K157" s="373"/>
      <c r="L157" s="373">
        <f>SUM(L158:L160)</f>
        <v>6024000</v>
      </c>
      <c r="M157" s="373"/>
      <c r="N157" s="373"/>
      <c r="O157" s="374"/>
      <c r="P157" s="373"/>
      <c r="Q157" s="373">
        <f>SUM(Q158:Q160)</f>
        <v>3019000</v>
      </c>
      <c r="R157" s="373"/>
      <c r="S157" s="373"/>
      <c r="T157" s="374"/>
      <c r="U157" s="373"/>
      <c r="V157" s="373">
        <f>SUM(V158:V160)</f>
        <v>2872000</v>
      </c>
      <c r="W157" s="373"/>
      <c r="X157" s="373"/>
      <c r="Y157" s="374"/>
      <c r="Z157" s="373"/>
      <c r="AA157" s="373">
        <f>SUM(AA158:AA160)</f>
        <v>6600000</v>
      </c>
      <c r="AB157" s="373"/>
      <c r="AC157" s="373"/>
      <c r="AD157" s="374"/>
      <c r="AE157" s="373"/>
      <c r="AF157" s="373">
        <f>SUM(AF158:AF160)</f>
        <v>9277000</v>
      </c>
      <c r="AG157" s="373"/>
      <c r="AH157" s="373"/>
      <c r="AI157" s="374"/>
      <c r="AJ157" s="373"/>
      <c r="AK157" s="373">
        <f>SUM(AK158:AK160)</f>
        <v>8807000</v>
      </c>
      <c r="AL157" s="373"/>
      <c r="AM157" s="373"/>
      <c r="AN157" s="374"/>
      <c r="AO157" s="373"/>
      <c r="AP157" s="373">
        <f>SUM(AP158:AP160)</f>
        <v>4111000</v>
      </c>
      <c r="AQ157" s="373"/>
      <c r="AR157" s="373"/>
      <c r="AS157" s="374"/>
      <c r="AT157" s="373"/>
      <c r="AU157" s="373">
        <f>SUM(AU158:AU160)</f>
        <v>4400000</v>
      </c>
      <c r="AV157" s="373"/>
      <c r="AW157" s="373"/>
      <c r="AX157" s="374"/>
      <c r="AY157" s="373"/>
      <c r="AZ157" s="373">
        <f>SUM(AZ158:AZ160)</f>
        <v>2329000</v>
      </c>
      <c r="BA157" s="373"/>
      <c r="BB157" s="373"/>
      <c r="BC157" s="374"/>
      <c r="BD157" s="373"/>
      <c r="BE157" s="373">
        <f>SUM(BE158:BE160)</f>
        <v>4398000</v>
      </c>
      <c r="BF157" s="373"/>
      <c r="BG157" s="373"/>
      <c r="BH157" s="374"/>
      <c r="BI157" s="373"/>
      <c r="BJ157" s="373">
        <f>SUM(BJ158:BJ160)</f>
        <v>0</v>
      </c>
      <c r="BK157" s="373"/>
      <c r="BL157" s="373"/>
      <c r="BM157" s="374"/>
      <c r="BN157" s="373"/>
      <c r="BO157" s="373">
        <f>SUM(BO158:BO160)</f>
        <v>0</v>
      </c>
      <c r="BP157" s="373"/>
      <c r="BQ157" s="373"/>
      <c r="BR157" s="374"/>
      <c r="BS157" s="373"/>
      <c r="BT157" s="373">
        <f>SUM(BT158:BT160)</f>
        <v>51837000</v>
      </c>
      <c r="BU157" s="373"/>
      <c r="BV157" s="373"/>
      <c r="BW157" s="9"/>
      <c r="BZ157" s="10"/>
      <c r="CA157" s="10"/>
    </row>
    <row r="158" spans="4:79" ht="12.75" customHeight="1" x14ac:dyDescent="0.2">
      <c r="D158" s="9" t="s">
        <v>343</v>
      </c>
      <c r="F158" s="309"/>
      <c r="G158" s="371">
        <v>0</v>
      </c>
      <c r="H158" s="372"/>
      <c r="I158" s="373"/>
      <c r="J158" s="374"/>
      <c r="K158" s="375"/>
      <c r="L158" s="371">
        <f>6024000-1184412</f>
        <v>4839588</v>
      </c>
      <c r="M158" s="372"/>
      <c r="N158" s="373"/>
      <c r="O158" s="374"/>
      <c r="P158" s="375"/>
      <c r="Q158" s="371">
        <f>3019000-467659</f>
        <v>2551341</v>
      </c>
      <c r="R158" s="372"/>
      <c r="S158" s="373"/>
      <c r="T158" s="374"/>
      <c r="U158" s="375"/>
      <c r="V158" s="371">
        <f>2872000-377052</f>
        <v>2494948</v>
      </c>
      <c r="W158" s="372"/>
      <c r="X158" s="373"/>
      <c r="Y158" s="374"/>
      <c r="Z158" s="375"/>
      <c r="AA158" s="371">
        <f>6600000-871152</f>
        <v>5728848</v>
      </c>
      <c r="AB158" s="372"/>
      <c r="AC158" s="373"/>
      <c r="AD158" s="374"/>
      <c r="AE158" s="375"/>
      <c r="AF158" s="371">
        <f>9277000-1225246</f>
        <v>8051754</v>
      </c>
      <c r="AG158" s="372"/>
      <c r="AH158" s="373"/>
      <c r="AI158" s="374"/>
      <c r="AJ158" s="375"/>
      <c r="AK158" s="371">
        <f>8807000-1107949</f>
        <v>7699051</v>
      </c>
      <c r="AL158" s="372"/>
      <c r="AM158" s="373"/>
      <c r="AN158" s="374"/>
      <c r="AO158" s="375"/>
      <c r="AP158" s="371">
        <f>4111000-556622</f>
        <v>3554378</v>
      </c>
      <c r="AQ158" s="372"/>
      <c r="AR158" s="373"/>
      <c r="AS158" s="374"/>
      <c r="AT158" s="375"/>
      <c r="AU158" s="371">
        <f>4400000-474513</f>
        <v>3925487</v>
      </c>
      <c r="AV158" s="372"/>
      <c r="AW158" s="373"/>
      <c r="AX158" s="374"/>
      <c r="AY158" s="375"/>
      <c r="AZ158" s="371">
        <f>2329000-256938</f>
        <v>2072062</v>
      </c>
      <c r="BA158" s="372"/>
      <c r="BB158" s="373"/>
      <c r="BC158" s="374"/>
      <c r="BD158" s="375"/>
      <c r="BE158" s="371">
        <f>4398000-445780</f>
        <v>3952220</v>
      </c>
      <c r="BF158" s="372"/>
      <c r="BG158" s="373"/>
      <c r="BH158" s="374"/>
      <c r="BI158" s="375"/>
      <c r="BJ158" s="371">
        <v>0</v>
      </c>
      <c r="BK158" s="372"/>
      <c r="BL158" s="373"/>
      <c r="BM158" s="374"/>
      <c r="BN158" s="375"/>
      <c r="BO158" s="371">
        <v>0</v>
      </c>
      <c r="BP158" s="372"/>
      <c r="BQ158" s="373"/>
      <c r="BR158" s="374"/>
      <c r="BS158" s="375"/>
      <c r="BT158" s="371">
        <f>SUM(L158:BO158)</f>
        <v>44869677</v>
      </c>
      <c r="BU158" s="372"/>
      <c r="BV158" s="373"/>
      <c r="BW158" s="9"/>
      <c r="BZ158" s="10"/>
      <c r="CA158" s="10"/>
    </row>
    <row r="159" spans="4:79" ht="12.75" customHeight="1" x14ac:dyDescent="0.2">
      <c r="D159" s="9" t="s">
        <v>345</v>
      </c>
      <c r="F159" s="156"/>
      <c r="G159" s="373">
        <v>0</v>
      </c>
      <c r="H159" s="377"/>
      <c r="I159" s="373"/>
      <c r="J159" s="374"/>
      <c r="K159" s="374"/>
      <c r="L159" s="373">
        <v>1184412</v>
      </c>
      <c r="M159" s="377"/>
      <c r="N159" s="373"/>
      <c r="O159" s="374"/>
      <c r="P159" s="374"/>
      <c r="Q159" s="373">
        <v>467659</v>
      </c>
      <c r="R159" s="377"/>
      <c r="S159" s="373"/>
      <c r="T159" s="374"/>
      <c r="U159" s="374"/>
      <c r="V159" s="373">
        <v>377052</v>
      </c>
      <c r="W159" s="377"/>
      <c r="X159" s="373"/>
      <c r="Y159" s="374"/>
      <c r="Z159" s="374"/>
      <c r="AA159" s="373">
        <v>871152</v>
      </c>
      <c r="AB159" s="377"/>
      <c r="AC159" s="373"/>
      <c r="AD159" s="374"/>
      <c r="AE159" s="374"/>
      <c r="AF159" s="373">
        <v>1225246</v>
      </c>
      <c r="AG159" s="377"/>
      <c r="AH159" s="373"/>
      <c r="AI159" s="374"/>
      <c r="AJ159" s="374"/>
      <c r="AK159" s="373">
        <v>1107949</v>
      </c>
      <c r="AL159" s="377"/>
      <c r="AM159" s="373"/>
      <c r="AN159" s="374"/>
      <c r="AO159" s="374"/>
      <c r="AP159" s="373">
        <v>556622</v>
      </c>
      <c r="AQ159" s="377"/>
      <c r="AR159" s="373"/>
      <c r="AS159" s="374"/>
      <c r="AT159" s="374"/>
      <c r="AU159" s="373">
        <v>474513</v>
      </c>
      <c r="AV159" s="377"/>
      <c r="AW159" s="373"/>
      <c r="AX159" s="374"/>
      <c r="AY159" s="374"/>
      <c r="AZ159" s="373">
        <v>256938</v>
      </c>
      <c r="BA159" s="377"/>
      <c r="BB159" s="373"/>
      <c r="BC159" s="374"/>
      <c r="BD159" s="374"/>
      <c r="BE159" s="373">
        <v>445780</v>
      </c>
      <c r="BF159" s="377"/>
      <c r="BG159" s="373"/>
      <c r="BH159" s="374"/>
      <c r="BI159" s="374"/>
      <c r="BJ159" s="373">
        <v>0</v>
      </c>
      <c r="BK159" s="377"/>
      <c r="BL159" s="373"/>
      <c r="BM159" s="374"/>
      <c r="BN159" s="374"/>
      <c r="BO159" s="373">
        <v>0</v>
      </c>
      <c r="BP159" s="377"/>
      <c r="BQ159" s="373"/>
      <c r="BR159" s="374"/>
      <c r="BS159" s="374"/>
      <c r="BT159" s="373">
        <f>SUM(L159:BO159)</f>
        <v>6967323</v>
      </c>
      <c r="BU159" s="377"/>
      <c r="BV159" s="373"/>
      <c r="BW159" s="9"/>
      <c r="BZ159" s="10"/>
      <c r="CA159" s="10"/>
    </row>
    <row r="160" spans="4:79" ht="12.75" customHeight="1" x14ac:dyDescent="0.2">
      <c r="D160" s="9" t="s">
        <v>346</v>
      </c>
      <c r="F160" s="320"/>
      <c r="G160" s="385">
        <v>0</v>
      </c>
      <c r="H160" s="386"/>
      <c r="I160" s="373"/>
      <c r="J160" s="374"/>
      <c r="K160" s="387"/>
      <c r="L160" s="385">
        <v>0</v>
      </c>
      <c r="M160" s="386"/>
      <c r="N160" s="373"/>
      <c r="O160" s="374"/>
      <c r="P160" s="387"/>
      <c r="Q160" s="385">
        <v>0</v>
      </c>
      <c r="R160" s="386"/>
      <c r="S160" s="373"/>
      <c r="T160" s="374"/>
      <c r="U160" s="387"/>
      <c r="V160" s="385">
        <v>0</v>
      </c>
      <c r="W160" s="386"/>
      <c r="X160" s="373"/>
      <c r="Y160" s="374"/>
      <c r="Z160" s="387"/>
      <c r="AA160" s="385">
        <v>0</v>
      </c>
      <c r="AB160" s="386"/>
      <c r="AC160" s="373"/>
      <c r="AD160" s="374"/>
      <c r="AE160" s="387"/>
      <c r="AF160" s="385">
        <v>0</v>
      </c>
      <c r="AG160" s="386"/>
      <c r="AH160" s="373"/>
      <c r="AI160" s="374"/>
      <c r="AJ160" s="387"/>
      <c r="AK160" s="385">
        <v>0</v>
      </c>
      <c r="AL160" s="386"/>
      <c r="AM160" s="373"/>
      <c r="AN160" s="374"/>
      <c r="AO160" s="387"/>
      <c r="AP160" s="385">
        <v>0</v>
      </c>
      <c r="AQ160" s="386"/>
      <c r="AR160" s="373"/>
      <c r="AS160" s="374"/>
      <c r="AT160" s="387"/>
      <c r="AU160" s="385">
        <v>0</v>
      </c>
      <c r="AV160" s="386"/>
      <c r="AW160" s="373"/>
      <c r="AX160" s="374"/>
      <c r="AY160" s="387"/>
      <c r="AZ160" s="385">
        <v>0</v>
      </c>
      <c r="BA160" s="386"/>
      <c r="BB160" s="373"/>
      <c r="BC160" s="374"/>
      <c r="BD160" s="387"/>
      <c r="BE160" s="385">
        <v>0</v>
      </c>
      <c r="BF160" s="386"/>
      <c r="BG160" s="373"/>
      <c r="BH160" s="374"/>
      <c r="BI160" s="387"/>
      <c r="BJ160" s="385">
        <v>0</v>
      </c>
      <c r="BK160" s="386"/>
      <c r="BL160" s="373"/>
      <c r="BM160" s="374"/>
      <c r="BN160" s="387"/>
      <c r="BO160" s="385">
        <v>0</v>
      </c>
      <c r="BP160" s="386"/>
      <c r="BQ160" s="373"/>
      <c r="BR160" s="374"/>
      <c r="BS160" s="387"/>
      <c r="BT160" s="385">
        <f>SUM(L160:BO160)</f>
        <v>0</v>
      </c>
      <c r="BU160" s="386"/>
      <c r="BV160" s="373"/>
      <c r="BW160" s="9"/>
      <c r="BZ160" s="10"/>
      <c r="CA160" s="10"/>
    </row>
    <row r="161" spans="4:79" ht="12.75" customHeight="1" x14ac:dyDescent="0.2">
      <c r="D161" s="9"/>
      <c r="G161" s="373"/>
      <c r="H161" s="373"/>
      <c r="I161" s="373"/>
      <c r="J161" s="374"/>
      <c r="K161" s="373"/>
      <c r="L161" s="373"/>
      <c r="M161" s="373"/>
      <c r="N161" s="373"/>
      <c r="O161" s="374"/>
      <c r="P161" s="373"/>
      <c r="Q161" s="373"/>
      <c r="R161" s="373"/>
      <c r="S161" s="373"/>
      <c r="T161" s="374"/>
      <c r="U161" s="373"/>
      <c r="V161" s="373"/>
      <c r="W161" s="373"/>
      <c r="X161" s="373"/>
      <c r="Y161" s="374"/>
      <c r="Z161" s="373"/>
      <c r="AA161" s="373"/>
      <c r="AB161" s="373"/>
      <c r="AC161" s="373"/>
      <c r="AD161" s="374"/>
      <c r="AE161" s="373"/>
      <c r="AF161" s="373"/>
      <c r="AG161" s="373"/>
      <c r="AH161" s="373"/>
      <c r="AI161" s="374"/>
      <c r="AJ161" s="373"/>
      <c r="AK161" s="373"/>
      <c r="AL161" s="373"/>
      <c r="AM161" s="373"/>
      <c r="AN161" s="374"/>
      <c r="AO161" s="373"/>
      <c r="AP161" s="373"/>
      <c r="AQ161" s="373"/>
      <c r="AR161" s="373"/>
      <c r="AS161" s="374"/>
      <c r="AT161" s="373"/>
      <c r="AU161" s="373"/>
      <c r="AV161" s="373"/>
      <c r="AW161" s="373"/>
      <c r="AX161" s="374"/>
      <c r="AY161" s="373"/>
      <c r="AZ161" s="373"/>
      <c r="BA161" s="373"/>
      <c r="BB161" s="373"/>
      <c r="BC161" s="374"/>
      <c r="BD161" s="373"/>
      <c r="BE161" s="373"/>
      <c r="BF161" s="373"/>
      <c r="BG161" s="373"/>
      <c r="BH161" s="374"/>
      <c r="BI161" s="373"/>
      <c r="BJ161" s="373"/>
      <c r="BK161" s="373"/>
      <c r="BL161" s="373"/>
      <c r="BM161" s="374"/>
      <c r="BN161" s="373"/>
      <c r="BO161" s="373"/>
      <c r="BP161" s="373"/>
      <c r="BQ161" s="373"/>
      <c r="BR161" s="374"/>
      <c r="BS161" s="373"/>
      <c r="BT161" s="373"/>
      <c r="BU161" s="373"/>
      <c r="BV161" s="373"/>
      <c r="BW161" s="9"/>
      <c r="BZ161" s="10"/>
      <c r="CA161" s="10"/>
    </row>
    <row r="162" spans="4:79" ht="12.75" customHeight="1" x14ac:dyDescent="0.2">
      <c r="D162" s="9" t="s">
        <v>374</v>
      </c>
      <c r="G162" s="373">
        <f>SUM(G163:G165)</f>
        <v>0</v>
      </c>
      <c r="H162" s="373"/>
      <c r="I162" s="373"/>
      <c r="J162" s="374"/>
      <c r="K162" s="373"/>
      <c r="L162" s="373">
        <f>SUM(L163:L165)</f>
        <v>3019000</v>
      </c>
      <c r="M162" s="373"/>
      <c r="N162" s="373"/>
      <c r="O162" s="374"/>
      <c r="P162" s="373"/>
      <c r="Q162" s="373">
        <f>SUM(Q163:Q165)</f>
        <v>0</v>
      </c>
      <c r="R162" s="373"/>
      <c r="S162" s="373"/>
      <c r="T162" s="374"/>
      <c r="U162" s="373"/>
      <c r="V162" s="373">
        <f>SUM(V163:V165)</f>
        <v>4198000</v>
      </c>
      <c r="W162" s="373"/>
      <c r="X162" s="373"/>
      <c r="Y162" s="374"/>
      <c r="Z162" s="373"/>
      <c r="AA162" s="373">
        <f>SUM(AA163:AA165)</f>
        <v>4397000</v>
      </c>
      <c r="AB162" s="373"/>
      <c r="AC162" s="373"/>
      <c r="AD162" s="374"/>
      <c r="AE162" s="373"/>
      <c r="AF162" s="373">
        <f>SUM(AF163:AF165)</f>
        <v>3698000</v>
      </c>
      <c r="AG162" s="373"/>
      <c r="AH162" s="373"/>
      <c r="AI162" s="374"/>
      <c r="AJ162" s="373"/>
      <c r="AK162" s="373">
        <f>SUM(AK163:AK165)</f>
        <v>4400000</v>
      </c>
      <c r="AL162" s="373"/>
      <c r="AM162" s="373"/>
      <c r="AN162" s="374"/>
      <c r="AO162" s="373"/>
      <c r="AP162" s="373">
        <f>SUM(AP163:AP165)</f>
        <v>4176000</v>
      </c>
      <c r="AQ162" s="373"/>
      <c r="AR162" s="373"/>
      <c r="AS162" s="374"/>
      <c r="AT162" s="373"/>
      <c r="AU162" s="373">
        <f>SUM(AU163:AU165)</f>
        <v>0</v>
      </c>
      <c r="AV162" s="373"/>
      <c r="AW162" s="373"/>
      <c r="AX162" s="374"/>
      <c r="AY162" s="373"/>
      <c r="AZ162" s="373">
        <f>SUM(AZ163:AZ165)</f>
        <v>4344000</v>
      </c>
      <c r="BA162" s="373"/>
      <c r="BB162" s="373"/>
      <c r="BC162" s="374"/>
      <c r="BD162" s="373"/>
      <c r="BE162" s="373">
        <f>SUM(BE163:BE165)</f>
        <v>4400000</v>
      </c>
      <c r="BF162" s="373"/>
      <c r="BG162" s="373"/>
      <c r="BH162" s="374"/>
      <c r="BI162" s="373"/>
      <c r="BJ162" s="373">
        <f>SUM(BJ163:BJ165)</f>
        <v>0</v>
      </c>
      <c r="BK162" s="373"/>
      <c r="BL162" s="373"/>
      <c r="BM162" s="374"/>
      <c r="BN162" s="373"/>
      <c r="BO162" s="373">
        <f>SUM(BO163:BO165)</f>
        <v>0</v>
      </c>
      <c r="BP162" s="373"/>
      <c r="BQ162" s="373"/>
      <c r="BR162" s="374"/>
      <c r="BS162" s="373"/>
      <c r="BT162" s="373">
        <f>SUM(BT163:BT165)</f>
        <v>32632000</v>
      </c>
      <c r="BU162" s="373"/>
      <c r="BV162" s="373"/>
      <c r="BW162" s="9"/>
      <c r="BZ162" s="10"/>
      <c r="CA162" s="10"/>
    </row>
    <row r="163" spans="4:79" ht="12.75" customHeight="1" x14ac:dyDescent="0.2">
      <c r="D163" s="9" t="s">
        <v>343</v>
      </c>
      <c r="F163" s="309"/>
      <c r="G163" s="371">
        <v>0</v>
      </c>
      <c r="H163" s="372"/>
      <c r="I163" s="373"/>
      <c r="J163" s="374"/>
      <c r="K163" s="375"/>
      <c r="L163" s="371">
        <f>3019000-705765</f>
        <v>2313235</v>
      </c>
      <c r="M163" s="372"/>
      <c r="N163" s="373"/>
      <c r="O163" s="374"/>
      <c r="P163" s="375"/>
      <c r="Q163" s="371">
        <v>0</v>
      </c>
      <c r="R163" s="372"/>
      <c r="S163" s="373"/>
      <c r="T163" s="374"/>
      <c r="U163" s="375"/>
      <c r="V163" s="371">
        <f>4198000-671900</f>
        <v>3526100</v>
      </c>
      <c r="W163" s="372"/>
      <c r="X163" s="373"/>
      <c r="Y163" s="374"/>
      <c r="Z163" s="375"/>
      <c r="AA163" s="371">
        <f>4397000-939132</f>
        <v>3457868</v>
      </c>
      <c r="AB163" s="372"/>
      <c r="AC163" s="373"/>
      <c r="AD163" s="374"/>
      <c r="AE163" s="375"/>
      <c r="AF163" s="371">
        <f>3698000-763219</f>
        <v>2934781</v>
      </c>
      <c r="AG163" s="372"/>
      <c r="AH163" s="373"/>
      <c r="AI163" s="374"/>
      <c r="AJ163" s="375"/>
      <c r="AK163" s="371">
        <f>4400000-879677</f>
        <v>3520323</v>
      </c>
      <c r="AL163" s="372"/>
      <c r="AM163" s="373"/>
      <c r="AN163" s="374"/>
      <c r="AO163" s="375"/>
      <c r="AP163" s="371">
        <f>4176000-907864</f>
        <v>3268136</v>
      </c>
      <c r="AQ163" s="372"/>
      <c r="AR163" s="373"/>
      <c r="AS163" s="374"/>
      <c r="AT163" s="375"/>
      <c r="AU163" s="371">
        <v>0</v>
      </c>
      <c r="AV163" s="372"/>
      <c r="AW163" s="373"/>
      <c r="AX163" s="374"/>
      <c r="AY163" s="375"/>
      <c r="AZ163" s="371">
        <f>4344000-828139</f>
        <v>3515861</v>
      </c>
      <c r="BA163" s="372"/>
      <c r="BB163" s="373"/>
      <c r="BC163" s="374"/>
      <c r="BD163" s="375"/>
      <c r="BE163" s="371">
        <f>4400000-768756</f>
        <v>3631244</v>
      </c>
      <c r="BF163" s="372"/>
      <c r="BG163" s="373"/>
      <c r="BH163" s="374"/>
      <c r="BI163" s="375"/>
      <c r="BJ163" s="371">
        <v>0</v>
      </c>
      <c r="BK163" s="372"/>
      <c r="BL163" s="373"/>
      <c r="BM163" s="374"/>
      <c r="BN163" s="375"/>
      <c r="BO163" s="371">
        <v>0</v>
      </c>
      <c r="BP163" s="372"/>
      <c r="BQ163" s="373"/>
      <c r="BR163" s="374"/>
      <c r="BS163" s="375"/>
      <c r="BT163" s="371">
        <f>SUM(L163:BO163)</f>
        <v>26167548</v>
      </c>
      <c r="BU163" s="372"/>
      <c r="BV163" s="373"/>
      <c r="BW163" s="9"/>
      <c r="BZ163" s="10"/>
      <c r="CA163" s="10"/>
    </row>
    <row r="164" spans="4:79" ht="12.75" customHeight="1" x14ac:dyDescent="0.2">
      <c r="D164" s="9" t="s">
        <v>345</v>
      </c>
      <c r="F164" s="156"/>
      <c r="G164" s="373">
        <v>0</v>
      </c>
      <c r="H164" s="377"/>
      <c r="I164" s="373"/>
      <c r="J164" s="374"/>
      <c r="K164" s="374"/>
      <c r="L164" s="373">
        <v>705765</v>
      </c>
      <c r="M164" s="377"/>
      <c r="N164" s="373"/>
      <c r="O164" s="374"/>
      <c r="P164" s="374"/>
      <c r="Q164" s="373">
        <v>0</v>
      </c>
      <c r="R164" s="377"/>
      <c r="S164" s="373"/>
      <c r="T164" s="374"/>
      <c r="U164" s="374"/>
      <c r="V164" s="373">
        <v>671900</v>
      </c>
      <c r="W164" s="377"/>
      <c r="X164" s="373"/>
      <c r="Y164" s="374"/>
      <c r="Z164" s="374"/>
      <c r="AA164" s="373">
        <v>939132</v>
      </c>
      <c r="AB164" s="377"/>
      <c r="AC164" s="373"/>
      <c r="AD164" s="374"/>
      <c r="AE164" s="374"/>
      <c r="AF164" s="373">
        <v>763219</v>
      </c>
      <c r="AG164" s="377"/>
      <c r="AH164" s="373"/>
      <c r="AI164" s="374"/>
      <c r="AJ164" s="374"/>
      <c r="AK164" s="373">
        <v>879677</v>
      </c>
      <c r="AL164" s="377"/>
      <c r="AM164" s="373"/>
      <c r="AN164" s="374"/>
      <c r="AO164" s="374"/>
      <c r="AP164" s="373">
        <v>907864</v>
      </c>
      <c r="AQ164" s="377"/>
      <c r="AR164" s="373"/>
      <c r="AS164" s="374"/>
      <c r="AT164" s="374"/>
      <c r="AU164" s="373">
        <v>0</v>
      </c>
      <c r="AV164" s="377"/>
      <c r="AW164" s="373"/>
      <c r="AX164" s="374"/>
      <c r="AY164" s="374"/>
      <c r="AZ164" s="373">
        <v>828139</v>
      </c>
      <c r="BA164" s="377"/>
      <c r="BB164" s="373"/>
      <c r="BC164" s="374"/>
      <c r="BD164" s="374"/>
      <c r="BE164" s="373">
        <v>768756</v>
      </c>
      <c r="BF164" s="377"/>
      <c r="BG164" s="373"/>
      <c r="BH164" s="374"/>
      <c r="BI164" s="374"/>
      <c r="BJ164" s="373">
        <v>0</v>
      </c>
      <c r="BK164" s="377"/>
      <c r="BL164" s="373"/>
      <c r="BM164" s="374"/>
      <c r="BN164" s="374"/>
      <c r="BO164" s="373">
        <v>0</v>
      </c>
      <c r="BP164" s="377"/>
      <c r="BQ164" s="373"/>
      <c r="BR164" s="374"/>
      <c r="BS164" s="374"/>
      <c r="BT164" s="373">
        <f>SUM(L164:BO164)</f>
        <v>6464452</v>
      </c>
      <c r="BU164" s="377"/>
      <c r="BV164" s="373"/>
      <c r="BW164" s="9"/>
      <c r="BZ164" s="10"/>
      <c r="CA164" s="10"/>
    </row>
    <row r="165" spans="4:79" ht="12.75" customHeight="1" x14ac:dyDescent="0.2">
      <c r="D165" s="9" t="s">
        <v>346</v>
      </c>
      <c r="F165" s="320"/>
      <c r="G165" s="385">
        <v>0</v>
      </c>
      <c r="H165" s="386"/>
      <c r="I165" s="373"/>
      <c r="J165" s="374"/>
      <c r="K165" s="387"/>
      <c r="L165" s="385">
        <v>0</v>
      </c>
      <c r="M165" s="386"/>
      <c r="N165" s="373"/>
      <c r="O165" s="374"/>
      <c r="P165" s="387"/>
      <c r="Q165" s="385">
        <v>0</v>
      </c>
      <c r="R165" s="386"/>
      <c r="S165" s="373"/>
      <c r="T165" s="374"/>
      <c r="U165" s="387"/>
      <c r="V165" s="385">
        <v>0</v>
      </c>
      <c r="W165" s="386"/>
      <c r="X165" s="373"/>
      <c r="Y165" s="374"/>
      <c r="Z165" s="387"/>
      <c r="AA165" s="385">
        <v>0</v>
      </c>
      <c r="AB165" s="386"/>
      <c r="AC165" s="373"/>
      <c r="AD165" s="374"/>
      <c r="AE165" s="387"/>
      <c r="AF165" s="385">
        <v>0</v>
      </c>
      <c r="AG165" s="386"/>
      <c r="AH165" s="373"/>
      <c r="AI165" s="374"/>
      <c r="AJ165" s="387"/>
      <c r="AK165" s="385">
        <v>0</v>
      </c>
      <c r="AL165" s="386"/>
      <c r="AM165" s="373"/>
      <c r="AN165" s="374"/>
      <c r="AO165" s="387"/>
      <c r="AP165" s="385">
        <v>0</v>
      </c>
      <c r="AQ165" s="386"/>
      <c r="AR165" s="373"/>
      <c r="AS165" s="374"/>
      <c r="AT165" s="387"/>
      <c r="AU165" s="385">
        <v>0</v>
      </c>
      <c r="AV165" s="386"/>
      <c r="AW165" s="373"/>
      <c r="AX165" s="374"/>
      <c r="AY165" s="387"/>
      <c r="AZ165" s="385">
        <v>0</v>
      </c>
      <c r="BA165" s="386"/>
      <c r="BB165" s="373"/>
      <c r="BC165" s="374"/>
      <c r="BD165" s="387"/>
      <c r="BE165" s="385">
        <v>0</v>
      </c>
      <c r="BF165" s="386"/>
      <c r="BG165" s="373"/>
      <c r="BH165" s="374"/>
      <c r="BI165" s="387"/>
      <c r="BJ165" s="385">
        <v>0</v>
      </c>
      <c r="BK165" s="386"/>
      <c r="BL165" s="373"/>
      <c r="BM165" s="374"/>
      <c r="BN165" s="387"/>
      <c r="BO165" s="385">
        <v>0</v>
      </c>
      <c r="BP165" s="386"/>
      <c r="BQ165" s="373"/>
      <c r="BR165" s="374"/>
      <c r="BS165" s="387"/>
      <c r="BT165" s="385">
        <f>SUM(L165:BO165)</f>
        <v>0</v>
      </c>
      <c r="BU165" s="386"/>
      <c r="BV165" s="373"/>
      <c r="BW165" s="9"/>
      <c r="BZ165" s="10"/>
      <c r="CA165" s="10"/>
    </row>
    <row r="166" spans="4:79" ht="12.75" customHeight="1" x14ac:dyDescent="0.2">
      <c r="D166" s="9"/>
      <c r="G166" s="373"/>
      <c r="H166" s="373"/>
      <c r="I166" s="373"/>
      <c r="J166" s="374"/>
      <c r="K166" s="373"/>
      <c r="L166" s="373"/>
      <c r="M166" s="373"/>
      <c r="N166" s="373"/>
      <c r="O166" s="374"/>
      <c r="P166" s="373"/>
      <c r="Q166" s="373"/>
      <c r="R166" s="373"/>
      <c r="S166" s="373"/>
      <c r="T166" s="374"/>
      <c r="U166" s="373"/>
      <c r="V166" s="373"/>
      <c r="W166" s="373"/>
      <c r="X166" s="373"/>
      <c r="Y166" s="374"/>
      <c r="Z166" s="373"/>
      <c r="AA166" s="373"/>
      <c r="AB166" s="373"/>
      <c r="AC166" s="373"/>
      <c r="AD166" s="374"/>
      <c r="AE166" s="373"/>
      <c r="AF166" s="373"/>
      <c r="AG166" s="373"/>
      <c r="AH166" s="373"/>
      <c r="AI166" s="374"/>
      <c r="AJ166" s="373"/>
      <c r="AK166" s="373"/>
      <c r="AL166" s="373"/>
      <c r="AM166" s="373"/>
      <c r="AN166" s="374"/>
      <c r="AO166" s="373"/>
      <c r="AP166" s="373"/>
      <c r="AQ166" s="373"/>
      <c r="AR166" s="373"/>
      <c r="AS166" s="374"/>
      <c r="AT166" s="373"/>
      <c r="AU166" s="373"/>
      <c r="AV166" s="373"/>
      <c r="AW166" s="373"/>
      <c r="AX166" s="374"/>
      <c r="AY166" s="373"/>
      <c r="AZ166" s="373"/>
      <c r="BA166" s="373"/>
      <c r="BB166" s="373"/>
      <c r="BC166" s="374"/>
      <c r="BD166" s="373"/>
      <c r="BE166" s="373"/>
      <c r="BF166" s="373"/>
      <c r="BG166" s="373"/>
      <c r="BH166" s="374"/>
      <c r="BI166" s="373"/>
      <c r="BJ166" s="373"/>
      <c r="BK166" s="373"/>
      <c r="BL166" s="373"/>
      <c r="BM166" s="374"/>
      <c r="BN166" s="373"/>
      <c r="BO166" s="373"/>
      <c r="BP166" s="373"/>
      <c r="BQ166" s="373"/>
      <c r="BR166" s="374"/>
      <c r="BS166" s="373"/>
      <c r="BT166" s="373"/>
      <c r="BU166" s="373"/>
      <c r="BV166" s="373"/>
      <c r="BW166" s="9"/>
      <c r="BZ166" s="10"/>
      <c r="CA166" s="10"/>
    </row>
    <row r="167" spans="4:79" ht="12.75" customHeight="1" x14ac:dyDescent="0.2">
      <c r="D167" s="9" t="s">
        <v>375</v>
      </c>
      <c r="G167" s="373">
        <f>SUM(G168:G170)</f>
        <v>0</v>
      </c>
      <c r="H167" s="373"/>
      <c r="I167" s="373"/>
      <c r="J167" s="374"/>
      <c r="K167" s="373"/>
      <c r="L167" s="373">
        <f>SUM(L168:L170)</f>
        <v>0</v>
      </c>
      <c r="M167" s="373"/>
      <c r="N167" s="373"/>
      <c r="O167" s="374"/>
      <c r="P167" s="373"/>
      <c r="Q167" s="373">
        <f>SUM(Q168:Q170)</f>
        <v>0</v>
      </c>
      <c r="R167" s="373"/>
      <c r="S167" s="373"/>
      <c r="T167" s="374"/>
      <c r="U167" s="373"/>
      <c r="V167" s="373">
        <f>SUM(V168:V170)</f>
        <v>0</v>
      </c>
      <c r="W167" s="373"/>
      <c r="X167" s="373"/>
      <c r="Y167" s="374"/>
      <c r="Z167" s="373"/>
      <c r="AA167" s="373">
        <f>SUM(AA168:AA170)</f>
        <v>0</v>
      </c>
      <c r="AB167" s="373"/>
      <c r="AC167" s="373"/>
      <c r="AD167" s="374"/>
      <c r="AE167" s="373"/>
      <c r="AF167" s="373">
        <f>SUM(AF168:AF170)</f>
        <v>2200000</v>
      </c>
      <c r="AG167" s="373"/>
      <c r="AH167" s="373"/>
      <c r="AI167" s="374"/>
      <c r="AJ167" s="373"/>
      <c r="AK167" s="373">
        <f>SUM(AK168:AK170)</f>
        <v>4397000</v>
      </c>
      <c r="AL167" s="373"/>
      <c r="AM167" s="373"/>
      <c r="AN167" s="374"/>
      <c r="AO167" s="373"/>
      <c r="AP167" s="373">
        <f>SUM(AP168:AP170)</f>
        <v>2250000</v>
      </c>
      <c r="AQ167" s="373"/>
      <c r="AR167" s="373"/>
      <c r="AS167" s="374"/>
      <c r="AT167" s="373"/>
      <c r="AU167" s="373">
        <f>SUM(AU168:AU170)</f>
        <v>4177000</v>
      </c>
      <c r="AV167" s="373"/>
      <c r="AW167" s="373"/>
      <c r="AX167" s="374"/>
      <c r="AY167" s="373"/>
      <c r="AZ167" s="373">
        <f>SUM(AZ168:AZ170)</f>
        <v>0</v>
      </c>
      <c r="BA167" s="373"/>
      <c r="BB167" s="373"/>
      <c r="BC167" s="374"/>
      <c r="BD167" s="373"/>
      <c r="BE167" s="373">
        <f>SUM(BE168:BE170)</f>
        <v>0</v>
      </c>
      <c r="BF167" s="373"/>
      <c r="BG167" s="373"/>
      <c r="BH167" s="374"/>
      <c r="BI167" s="373"/>
      <c r="BJ167" s="373">
        <f>SUM(BJ168:BJ170)</f>
        <v>0</v>
      </c>
      <c r="BK167" s="373"/>
      <c r="BL167" s="373"/>
      <c r="BM167" s="374"/>
      <c r="BN167" s="373"/>
      <c r="BO167" s="373">
        <f>SUM(BO168:BO170)</f>
        <v>0</v>
      </c>
      <c r="BP167" s="373"/>
      <c r="BQ167" s="373"/>
      <c r="BR167" s="374"/>
      <c r="BS167" s="373"/>
      <c r="BT167" s="373">
        <f>SUM(BT168:BT170)</f>
        <v>13024000</v>
      </c>
      <c r="BU167" s="373"/>
      <c r="BV167" s="373"/>
      <c r="BW167" s="9"/>
      <c r="BZ167" s="10"/>
      <c r="CA167" s="10"/>
    </row>
    <row r="168" spans="4:79" ht="12.75" customHeight="1" x14ac:dyDescent="0.2">
      <c r="D168" s="9" t="s">
        <v>343</v>
      </c>
      <c r="F168" s="309"/>
      <c r="G168" s="371">
        <v>0</v>
      </c>
      <c r="H168" s="372"/>
      <c r="I168" s="373"/>
      <c r="J168" s="374"/>
      <c r="K168" s="375"/>
      <c r="L168" s="371">
        <v>0</v>
      </c>
      <c r="M168" s="372"/>
      <c r="N168" s="373"/>
      <c r="O168" s="374"/>
      <c r="P168" s="375"/>
      <c r="Q168" s="371">
        <v>0</v>
      </c>
      <c r="R168" s="372"/>
      <c r="S168" s="373"/>
      <c r="T168" s="374"/>
      <c r="U168" s="375"/>
      <c r="V168" s="371">
        <v>0</v>
      </c>
      <c r="W168" s="372"/>
      <c r="X168" s="373"/>
      <c r="Y168" s="374"/>
      <c r="Z168" s="375"/>
      <c r="AA168" s="371">
        <v>0</v>
      </c>
      <c r="AB168" s="372"/>
      <c r="AC168" s="373"/>
      <c r="AD168" s="374"/>
      <c r="AE168" s="375"/>
      <c r="AF168" s="371">
        <f>2200000-491030</f>
        <v>1708970</v>
      </c>
      <c r="AG168" s="372"/>
      <c r="AH168" s="373"/>
      <c r="AI168" s="374"/>
      <c r="AJ168" s="375"/>
      <c r="AK168" s="371">
        <f>4397000-926461</f>
        <v>3470539</v>
      </c>
      <c r="AL168" s="372"/>
      <c r="AM168" s="373"/>
      <c r="AN168" s="374"/>
      <c r="AO168" s="375"/>
      <c r="AP168" s="371">
        <f>2250000-528176</f>
        <v>1721824</v>
      </c>
      <c r="AQ168" s="372"/>
      <c r="AR168" s="373"/>
      <c r="AS168" s="374"/>
      <c r="AT168" s="375"/>
      <c r="AU168" s="371">
        <f>4177000-864039</f>
        <v>3312961</v>
      </c>
      <c r="AV168" s="372"/>
      <c r="AW168" s="373"/>
      <c r="AX168" s="374"/>
      <c r="AY168" s="375"/>
      <c r="AZ168" s="371">
        <v>0</v>
      </c>
      <c r="BA168" s="372"/>
      <c r="BB168" s="373"/>
      <c r="BC168" s="374"/>
      <c r="BD168" s="375"/>
      <c r="BE168" s="371">
        <v>0</v>
      </c>
      <c r="BF168" s="372"/>
      <c r="BG168" s="373"/>
      <c r="BH168" s="374"/>
      <c r="BI168" s="375"/>
      <c r="BJ168" s="371">
        <v>0</v>
      </c>
      <c r="BK168" s="372"/>
      <c r="BL168" s="373"/>
      <c r="BM168" s="374"/>
      <c r="BN168" s="375"/>
      <c r="BO168" s="371">
        <v>0</v>
      </c>
      <c r="BP168" s="372"/>
      <c r="BQ168" s="373"/>
      <c r="BR168" s="374"/>
      <c r="BS168" s="375"/>
      <c r="BT168" s="371">
        <f>SUM(L168:BO168)</f>
        <v>10214294</v>
      </c>
      <c r="BU168" s="372"/>
      <c r="BV168" s="373"/>
      <c r="BW168" s="9"/>
      <c r="BZ168" s="10"/>
      <c r="CA168" s="10"/>
    </row>
    <row r="169" spans="4:79" ht="12.75" customHeight="1" x14ac:dyDescent="0.2">
      <c r="D169" s="9" t="s">
        <v>345</v>
      </c>
      <c r="F169" s="156"/>
      <c r="G169" s="373">
        <v>0</v>
      </c>
      <c r="H169" s="377"/>
      <c r="I169" s="373"/>
      <c r="J169" s="374"/>
      <c r="K169" s="374"/>
      <c r="L169" s="373">
        <v>0</v>
      </c>
      <c r="M169" s="377"/>
      <c r="N169" s="373"/>
      <c r="O169" s="374"/>
      <c r="P169" s="374"/>
      <c r="Q169" s="373">
        <v>0</v>
      </c>
      <c r="R169" s="377"/>
      <c r="S169" s="373"/>
      <c r="T169" s="374"/>
      <c r="U169" s="374"/>
      <c r="V169" s="373">
        <v>0</v>
      </c>
      <c r="W169" s="377"/>
      <c r="X169" s="373"/>
      <c r="Y169" s="374"/>
      <c r="Z169" s="374"/>
      <c r="AA169" s="373">
        <v>0</v>
      </c>
      <c r="AB169" s="377"/>
      <c r="AC169" s="373"/>
      <c r="AD169" s="374"/>
      <c r="AE169" s="374"/>
      <c r="AF169" s="373">
        <v>491030</v>
      </c>
      <c r="AG169" s="377"/>
      <c r="AH169" s="373"/>
      <c r="AI169" s="374"/>
      <c r="AJ169" s="374"/>
      <c r="AK169" s="373">
        <v>926461</v>
      </c>
      <c r="AL169" s="377"/>
      <c r="AM169" s="373"/>
      <c r="AN169" s="374"/>
      <c r="AO169" s="374"/>
      <c r="AP169" s="373">
        <v>528176</v>
      </c>
      <c r="AQ169" s="377"/>
      <c r="AR169" s="373"/>
      <c r="AS169" s="374"/>
      <c r="AT169" s="374"/>
      <c r="AU169" s="373">
        <v>864039</v>
      </c>
      <c r="AV169" s="377"/>
      <c r="AW169" s="373"/>
      <c r="AX169" s="374"/>
      <c r="AY169" s="374"/>
      <c r="AZ169" s="373">
        <v>0</v>
      </c>
      <c r="BA169" s="377"/>
      <c r="BB169" s="373"/>
      <c r="BC169" s="374"/>
      <c r="BD169" s="374"/>
      <c r="BE169" s="373">
        <v>0</v>
      </c>
      <c r="BF169" s="377"/>
      <c r="BG169" s="373"/>
      <c r="BH169" s="374"/>
      <c r="BI169" s="374"/>
      <c r="BJ169" s="373">
        <v>0</v>
      </c>
      <c r="BK169" s="377"/>
      <c r="BL169" s="373"/>
      <c r="BM169" s="374"/>
      <c r="BN169" s="374"/>
      <c r="BO169" s="373">
        <v>0</v>
      </c>
      <c r="BP169" s="377"/>
      <c r="BQ169" s="373"/>
      <c r="BR169" s="374"/>
      <c r="BS169" s="374"/>
      <c r="BT169" s="373">
        <f>SUM(L169:BO169)</f>
        <v>2809706</v>
      </c>
      <c r="BU169" s="377"/>
      <c r="BV169" s="373"/>
      <c r="BW169" s="9"/>
      <c r="BZ169" s="10"/>
      <c r="CA169" s="10"/>
    </row>
    <row r="170" spans="4:79" ht="12.75" customHeight="1" x14ac:dyDescent="0.2">
      <c r="D170" s="9" t="s">
        <v>346</v>
      </c>
      <c r="F170" s="320"/>
      <c r="G170" s="385">
        <v>0</v>
      </c>
      <c r="H170" s="386"/>
      <c r="I170" s="373"/>
      <c r="J170" s="374"/>
      <c r="K170" s="387"/>
      <c r="L170" s="385">
        <v>0</v>
      </c>
      <c r="M170" s="386"/>
      <c r="N170" s="373"/>
      <c r="O170" s="374"/>
      <c r="P170" s="387"/>
      <c r="Q170" s="385">
        <v>0</v>
      </c>
      <c r="R170" s="386"/>
      <c r="S170" s="373"/>
      <c r="T170" s="374"/>
      <c r="U170" s="387"/>
      <c r="V170" s="385">
        <v>0</v>
      </c>
      <c r="W170" s="386"/>
      <c r="X170" s="373"/>
      <c r="Y170" s="374"/>
      <c r="Z170" s="387"/>
      <c r="AA170" s="385">
        <v>0</v>
      </c>
      <c r="AB170" s="386"/>
      <c r="AC170" s="373"/>
      <c r="AD170" s="374"/>
      <c r="AE170" s="387"/>
      <c r="AF170" s="385">
        <v>0</v>
      </c>
      <c r="AG170" s="386"/>
      <c r="AH170" s="373"/>
      <c r="AI170" s="374"/>
      <c r="AJ170" s="387"/>
      <c r="AK170" s="385">
        <v>0</v>
      </c>
      <c r="AL170" s="386"/>
      <c r="AM170" s="373"/>
      <c r="AN170" s="374"/>
      <c r="AO170" s="387"/>
      <c r="AP170" s="385">
        <v>0</v>
      </c>
      <c r="AQ170" s="386"/>
      <c r="AR170" s="373"/>
      <c r="AS170" s="374"/>
      <c r="AT170" s="387"/>
      <c r="AU170" s="385">
        <v>0</v>
      </c>
      <c r="AV170" s="386"/>
      <c r="AW170" s="373"/>
      <c r="AX170" s="374"/>
      <c r="AY170" s="387"/>
      <c r="AZ170" s="385">
        <v>0</v>
      </c>
      <c r="BA170" s="386"/>
      <c r="BB170" s="373"/>
      <c r="BC170" s="374"/>
      <c r="BD170" s="387"/>
      <c r="BE170" s="385">
        <v>0</v>
      </c>
      <c r="BF170" s="386"/>
      <c r="BG170" s="373"/>
      <c r="BH170" s="374"/>
      <c r="BI170" s="387"/>
      <c r="BJ170" s="385">
        <v>0</v>
      </c>
      <c r="BK170" s="386"/>
      <c r="BL170" s="373"/>
      <c r="BM170" s="374"/>
      <c r="BN170" s="387"/>
      <c r="BO170" s="385">
        <v>0</v>
      </c>
      <c r="BP170" s="386"/>
      <c r="BQ170" s="373"/>
      <c r="BR170" s="374"/>
      <c r="BS170" s="387"/>
      <c r="BT170" s="385">
        <f>SUM(L170:BO170)</f>
        <v>0</v>
      </c>
      <c r="BU170" s="386"/>
      <c r="BV170" s="373"/>
      <c r="BW170" s="9"/>
      <c r="BZ170" s="10"/>
      <c r="CA170" s="10"/>
    </row>
    <row r="171" spans="4:79" ht="12.75" customHeight="1" x14ac:dyDescent="0.2">
      <c r="D171" s="9"/>
      <c r="G171" s="373"/>
      <c r="H171" s="373"/>
      <c r="I171" s="373"/>
      <c r="J171" s="374"/>
      <c r="K171" s="373"/>
      <c r="L171" s="373"/>
      <c r="M171" s="373"/>
      <c r="N171" s="373"/>
      <c r="O171" s="374"/>
      <c r="P171" s="373"/>
      <c r="Q171" s="373"/>
      <c r="R171" s="373"/>
      <c r="S171" s="373"/>
      <c r="T171" s="374"/>
      <c r="U171" s="373"/>
      <c r="V171" s="373"/>
      <c r="W171" s="373"/>
      <c r="X171" s="373"/>
      <c r="Y171" s="374"/>
      <c r="Z171" s="373"/>
      <c r="AA171" s="373"/>
      <c r="AB171" s="373"/>
      <c r="AC171" s="373"/>
      <c r="AD171" s="374"/>
      <c r="AE171" s="373"/>
      <c r="AF171" s="373"/>
      <c r="AG171" s="373"/>
      <c r="AH171" s="373"/>
      <c r="AI171" s="374"/>
      <c r="AJ171" s="373"/>
      <c r="AK171" s="373"/>
      <c r="AL171" s="373"/>
      <c r="AM171" s="373"/>
      <c r="AN171" s="374"/>
      <c r="AO171" s="373"/>
      <c r="AP171" s="373"/>
      <c r="AQ171" s="373"/>
      <c r="AR171" s="373"/>
      <c r="AS171" s="374"/>
      <c r="AT171" s="373"/>
      <c r="AU171" s="373"/>
      <c r="AV171" s="373"/>
      <c r="AW171" s="373"/>
      <c r="AX171" s="374"/>
      <c r="AY171" s="373"/>
      <c r="AZ171" s="373"/>
      <c r="BA171" s="373"/>
      <c r="BB171" s="373"/>
      <c r="BC171" s="374"/>
      <c r="BD171" s="373"/>
      <c r="BE171" s="373"/>
      <c r="BF171" s="373"/>
      <c r="BG171" s="373"/>
      <c r="BH171" s="374"/>
      <c r="BI171" s="373"/>
      <c r="BJ171" s="373"/>
      <c r="BK171" s="373"/>
      <c r="BL171" s="373"/>
      <c r="BM171" s="374"/>
      <c r="BN171" s="373"/>
      <c r="BO171" s="373"/>
      <c r="BP171" s="373"/>
      <c r="BQ171" s="373"/>
      <c r="BR171" s="374"/>
      <c r="BS171" s="373"/>
      <c r="BT171" s="373"/>
      <c r="BU171" s="373"/>
      <c r="BV171" s="373"/>
      <c r="BW171" s="9"/>
      <c r="BZ171" s="10"/>
      <c r="CA171" s="10"/>
    </row>
    <row r="172" spans="4:79" ht="12.75" customHeight="1" x14ac:dyDescent="0.2">
      <c r="D172" s="9" t="s">
        <v>376</v>
      </c>
      <c r="G172" s="373">
        <f>SUM(G173:G175)</f>
        <v>0</v>
      </c>
      <c r="H172" s="373"/>
      <c r="I172" s="373"/>
      <c r="J172" s="374"/>
      <c r="K172" s="373"/>
      <c r="L172" s="373">
        <f>SUM(L173:L175)</f>
        <v>0</v>
      </c>
      <c r="M172" s="373"/>
      <c r="N172" s="373"/>
      <c r="O172" s="374"/>
      <c r="P172" s="373"/>
      <c r="Q172" s="373">
        <f>SUM(Q173:Q175)</f>
        <v>0</v>
      </c>
      <c r="R172" s="373"/>
      <c r="S172" s="373"/>
      <c r="T172" s="374"/>
      <c r="U172" s="373"/>
      <c r="V172" s="373">
        <f>SUM(V173:V175)</f>
        <v>5309000</v>
      </c>
      <c r="W172" s="373"/>
      <c r="X172" s="373"/>
      <c r="Y172" s="374"/>
      <c r="Z172" s="373"/>
      <c r="AA172" s="373">
        <f>SUM(AA173:AA175)</f>
        <v>7690000</v>
      </c>
      <c r="AB172" s="373"/>
      <c r="AC172" s="373"/>
      <c r="AD172" s="374"/>
      <c r="AE172" s="373"/>
      <c r="AF172" s="373">
        <f>SUM(AF173:AF175)</f>
        <v>7528000</v>
      </c>
      <c r="AG172" s="373"/>
      <c r="AH172" s="373"/>
      <c r="AI172" s="374"/>
      <c r="AJ172" s="373"/>
      <c r="AK172" s="373">
        <f>SUM(AK173:AK175)</f>
        <v>8637000</v>
      </c>
      <c r="AL172" s="373"/>
      <c r="AM172" s="373"/>
      <c r="AN172" s="374"/>
      <c r="AO172" s="373"/>
      <c r="AP172" s="373">
        <f>SUM(AP173:AP175)</f>
        <v>5599000</v>
      </c>
      <c r="AQ172" s="373"/>
      <c r="AR172" s="373"/>
      <c r="AS172" s="374"/>
      <c r="AT172" s="373"/>
      <c r="AU172" s="373">
        <f>SUM(AU173:AU175)</f>
        <v>2292000</v>
      </c>
      <c r="AV172" s="373"/>
      <c r="AW172" s="373"/>
      <c r="AX172" s="374"/>
      <c r="AY172" s="373"/>
      <c r="AZ172" s="373">
        <f>SUM(AZ173:AZ175)</f>
        <v>8795000</v>
      </c>
      <c r="BA172" s="373"/>
      <c r="BB172" s="373"/>
      <c r="BC172" s="374"/>
      <c r="BD172" s="373"/>
      <c r="BE172" s="373">
        <f>SUM(BE173:BE175)</f>
        <v>6596000</v>
      </c>
      <c r="BF172" s="373"/>
      <c r="BG172" s="373"/>
      <c r="BH172" s="374"/>
      <c r="BI172" s="373"/>
      <c r="BJ172" s="373">
        <f>SUM(BJ173:BJ175)</f>
        <v>0</v>
      </c>
      <c r="BK172" s="373"/>
      <c r="BL172" s="373"/>
      <c r="BM172" s="374"/>
      <c r="BN172" s="373"/>
      <c r="BO172" s="373">
        <f>SUM(BO173:BO175)</f>
        <v>0</v>
      </c>
      <c r="BP172" s="373"/>
      <c r="BQ172" s="373"/>
      <c r="BR172" s="374"/>
      <c r="BS172" s="373"/>
      <c r="BT172" s="373">
        <f>SUM(BT173:BT175)</f>
        <v>52446000</v>
      </c>
      <c r="BU172" s="373"/>
      <c r="BV172" s="373"/>
      <c r="BW172" s="9"/>
      <c r="BZ172" s="10"/>
      <c r="CA172" s="10"/>
    </row>
    <row r="173" spans="4:79" ht="12.75" customHeight="1" x14ac:dyDescent="0.2">
      <c r="D173" s="9" t="s">
        <v>343</v>
      </c>
      <c r="F173" s="309"/>
      <c r="G173" s="371">
        <v>0</v>
      </c>
      <c r="H173" s="372"/>
      <c r="I173" s="373"/>
      <c r="J173" s="374"/>
      <c r="K173" s="375"/>
      <c r="L173" s="371">
        <v>0</v>
      </c>
      <c r="M173" s="372"/>
      <c r="N173" s="373"/>
      <c r="O173" s="374"/>
      <c r="P173" s="375"/>
      <c r="Q173" s="371">
        <v>0</v>
      </c>
      <c r="R173" s="372"/>
      <c r="S173" s="373"/>
      <c r="T173" s="374"/>
      <c r="U173" s="375"/>
      <c r="V173" s="371">
        <f>5309000-1128214</f>
        <v>4180786</v>
      </c>
      <c r="W173" s="372"/>
      <c r="X173" s="373"/>
      <c r="Y173" s="374"/>
      <c r="Z173" s="375"/>
      <c r="AA173" s="371">
        <f>7690000-1853447</f>
        <v>5836553</v>
      </c>
      <c r="AB173" s="372"/>
      <c r="AC173" s="373"/>
      <c r="AD173" s="374"/>
      <c r="AE173" s="375"/>
      <c r="AF173" s="371">
        <f>7528000-1710198</f>
        <v>5817802</v>
      </c>
      <c r="AG173" s="372"/>
      <c r="AH173" s="373"/>
      <c r="AI173" s="374"/>
      <c r="AJ173" s="375"/>
      <c r="AK173" s="371">
        <f>8637000-1926090</f>
        <v>6710910</v>
      </c>
      <c r="AL173" s="372"/>
      <c r="AM173" s="373"/>
      <c r="AN173" s="374"/>
      <c r="AO173" s="375"/>
      <c r="AP173" s="371">
        <f>5599000-1328149</f>
        <v>4270851</v>
      </c>
      <c r="AQ173" s="372"/>
      <c r="AR173" s="373"/>
      <c r="AS173" s="374"/>
      <c r="AT173" s="375"/>
      <c r="AU173" s="371">
        <f>2292000-435713</f>
        <v>1856287</v>
      </c>
      <c r="AV173" s="372"/>
      <c r="AW173" s="373"/>
      <c r="AX173" s="374"/>
      <c r="AY173" s="375"/>
      <c r="AZ173" s="371">
        <f>8795000-1657087</f>
        <v>7137913</v>
      </c>
      <c r="BA173" s="372"/>
      <c r="BB173" s="373"/>
      <c r="BC173" s="374"/>
      <c r="BD173" s="375"/>
      <c r="BE173" s="371">
        <f>6596000-1221988</f>
        <v>5374012</v>
      </c>
      <c r="BF173" s="372"/>
      <c r="BG173" s="373"/>
      <c r="BH173" s="374"/>
      <c r="BI173" s="375"/>
      <c r="BJ173" s="371">
        <v>0</v>
      </c>
      <c r="BK173" s="372"/>
      <c r="BL173" s="373"/>
      <c r="BM173" s="374"/>
      <c r="BN173" s="375"/>
      <c r="BO173" s="371">
        <v>0</v>
      </c>
      <c r="BP173" s="372"/>
      <c r="BQ173" s="373"/>
      <c r="BR173" s="374"/>
      <c r="BS173" s="375"/>
      <c r="BT173" s="371">
        <f>SUM(L173:BO173)</f>
        <v>41185114</v>
      </c>
      <c r="BU173" s="372"/>
      <c r="BV173" s="373"/>
      <c r="BW173" s="9"/>
      <c r="BZ173" s="10"/>
      <c r="CA173" s="10"/>
    </row>
    <row r="174" spans="4:79" ht="12.75" customHeight="1" x14ac:dyDescent="0.2">
      <c r="D174" s="9" t="s">
        <v>345</v>
      </c>
      <c r="F174" s="156"/>
      <c r="G174" s="373">
        <v>0</v>
      </c>
      <c r="H174" s="377"/>
      <c r="I174" s="373"/>
      <c r="J174" s="374"/>
      <c r="K174" s="374"/>
      <c r="L174" s="373">
        <v>0</v>
      </c>
      <c r="M174" s="377"/>
      <c r="N174" s="373"/>
      <c r="O174" s="374"/>
      <c r="P174" s="374"/>
      <c r="Q174" s="373">
        <v>0</v>
      </c>
      <c r="R174" s="377"/>
      <c r="S174" s="373"/>
      <c r="T174" s="374"/>
      <c r="U174" s="374"/>
      <c r="V174" s="373">
        <v>1128214</v>
      </c>
      <c r="W174" s="377"/>
      <c r="X174" s="373"/>
      <c r="Y174" s="374"/>
      <c r="Z174" s="374"/>
      <c r="AA174" s="373">
        <v>1853447</v>
      </c>
      <c r="AB174" s="377"/>
      <c r="AC174" s="373"/>
      <c r="AD174" s="374"/>
      <c r="AE174" s="374"/>
      <c r="AF174" s="373">
        <v>1710198</v>
      </c>
      <c r="AG174" s="377"/>
      <c r="AH174" s="373"/>
      <c r="AI174" s="374"/>
      <c r="AJ174" s="374"/>
      <c r="AK174" s="373">
        <v>1926090</v>
      </c>
      <c r="AL174" s="377"/>
      <c r="AM174" s="373"/>
      <c r="AN174" s="374"/>
      <c r="AO174" s="374"/>
      <c r="AP174" s="373">
        <v>1328149</v>
      </c>
      <c r="AQ174" s="377"/>
      <c r="AR174" s="373"/>
      <c r="AS174" s="374"/>
      <c r="AT174" s="374"/>
      <c r="AU174" s="373">
        <v>435713</v>
      </c>
      <c r="AV174" s="377"/>
      <c r="AW174" s="373"/>
      <c r="AX174" s="374"/>
      <c r="AY174" s="374"/>
      <c r="AZ174" s="373">
        <v>1657087</v>
      </c>
      <c r="BA174" s="377"/>
      <c r="BB174" s="373"/>
      <c r="BC174" s="374"/>
      <c r="BD174" s="374"/>
      <c r="BE174" s="373">
        <v>1221988</v>
      </c>
      <c r="BF174" s="377"/>
      <c r="BG174" s="373"/>
      <c r="BH174" s="374"/>
      <c r="BI174" s="374"/>
      <c r="BJ174" s="373">
        <v>0</v>
      </c>
      <c r="BK174" s="377"/>
      <c r="BL174" s="373"/>
      <c r="BM174" s="374"/>
      <c r="BN174" s="374"/>
      <c r="BO174" s="373">
        <v>0</v>
      </c>
      <c r="BP174" s="377"/>
      <c r="BQ174" s="373"/>
      <c r="BR174" s="374"/>
      <c r="BS174" s="374"/>
      <c r="BT174" s="373">
        <f>SUM(L174:BO174)</f>
        <v>11260886</v>
      </c>
      <c r="BU174" s="377"/>
      <c r="BV174" s="373"/>
      <c r="BW174" s="9"/>
      <c r="BZ174" s="10"/>
      <c r="CA174" s="10"/>
    </row>
    <row r="175" spans="4:79" ht="12.75" customHeight="1" x14ac:dyDescent="0.2">
      <c r="D175" s="9" t="s">
        <v>346</v>
      </c>
      <c r="F175" s="320"/>
      <c r="G175" s="385">
        <v>0</v>
      </c>
      <c r="H175" s="386"/>
      <c r="I175" s="373"/>
      <c r="J175" s="374"/>
      <c r="K175" s="387"/>
      <c r="L175" s="385">
        <v>0</v>
      </c>
      <c r="M175" s="386"/>
      <c r="N175" s="373"/>
      <c r="O175" s="374"/>
      <c r="P175" s="387"/>
      <c r="Q175" s="385">
        <v>0</v>
      </c>
      <c r="R175" s="386"/>
      <c r="S175" s="373"/>
      <c r="T175" s="374"/>
      <c r="U175" s="387"/>
      <c r="V175" s="385">
        <v>0</v>
      </c>
      <c r="W175" s="386"/>
      <c r="X175" s="373"/>
      <c r="Y175" s="374"/>
      <c r="Z175" s="387"/>
      <c r="AA175" s="385">
        <v>0</v>
      </c>
      <c r="AB175" s="386"/>
      <c r="AC175" s="373"/>
      <c r="AD175" s="374"/>
      <c r="AE175" s="387"/>
      <c r="AF175" s="385">
        <v>0</v>
      </c>
      <c r="AG175" s="386"/>
      <c r="AH175" s="373"/>
      <c r="AI175" s="374"/>
      <c r="AJ175" s="387"/>
      <c r="AK175" s="385">
        <v>0</v>
      </c>
      <c r="AL175" s="386"/>
      <c r="AM175" s="373"/>
      <c r="AN175" s="374"/>
      <c r="AO175" s="387"/>
      <c r="AP175" s="385">
        <v>0</v>
      </c>
      <c r="AQ175" s="386"/>
      <c r="AR175" s="373"/>
      <c r="AS175" s="374"/>
      <c r="AT175" s="387"/>
      <c r="AU175" s="385">
        <v>0</v>
      </c>
      <c r="AV175" s="386"/>
      <c r="AW175" s="373"/>
      <c r="AX175" s="374"/>
      <c r="AY175" s="387"/>
      <c r="AZ175" s="385">
        <v>0</v>
      </c>
      <c r="BA175" s="386"/>
      <c r="BB175" s="373"/>
      <c r="BC175" s="374"/>
      <c r="BD175" s="387"/>
      <c r="BE175" s="385">
        <v>0</v>
      </c>
      <c r="BF175" s="386"/>
      <c r="BG175" s="373"/>
      <c r="BH175" s="374"/>
      <c r="BI175" s="387"/>
      <c r="BJ175" s="385">
        <v>0</v>
      </c>
      <c r="BK175" s="386"/>
      <c r="BL175" s="373"/>
      <c r="BM175" s="374"/>
      <c r="BN175" s="387"/>
      <c r="BO175" s="385">
        <v>0</v>
      </c>
      <c r="BP175" s="386"/>
      <c r="BQ175" s="373"/>
      <c r="BR175" s="374"/>
      <c r="BS175" s="387"/>
      <c r="BT175" s="385">
        <f>SUM(L175:BO175)</f>
        <v>0</v>
      </c>
      <c r="BU175" s="386"/>
      <c r="BV175" s="373"/>
      <c r="BW175" s="9"/>
      <c r="BZ175" s="10"/>
      <c r="CA175" s="10"/>
    </row>
    <row r="176" spans="4:79" ht="14.25" customHeight="1" x14ac:dyDescent="0.2">
      <c r="D176" s="389"/>
      <c r="E176" s="390"/>
      <c r="F176" s="3"/>
      <c r="G176" s="391"/>
      <c r="H176" s="391"/>
      <c r="I176" s="391"/>
      <c r="J176" s="392"/>
      <c r="K176" s="391"/>
      <c r="L176" s="391"/>
      <c r="M176" s="391"/>
      <c r="N176" s="391"/>
      <c r="O176" s="392"/>
      <c r="P176" s="391"/>
      <c r="Q176" s="391"/>
      <c r="R176" s="391"/>
      <c r="S176" s="391"/>
      <c r="T176" s="392"/>
      <c r="U176" s="391"/>
      <c r="V176" s="391"/>
      <c r="W176" s="391"/>
      <c r="X176" s="391"/>
      <c r="Y176" s="392"/>
      <c r="Z176" s="391"/>
      <c r="AA176" s="391"/>
      <c r="AB176" s="391"/>
      <c r="AC176" s="391"/>
      <c r="AD176" s="392"/>
      <c r="AE176" s="391"/>
      <c r="AF176" s="391"/>
      <c r="AG176" s="391"/>
      <c r="AH176" s="391"/>
      <c r="AI176" s="392"/>
      <c r="AJ176" s="391"/>
      <c r="AK176" s="391"/>
      <c r="AL176" s="391"/>
      <c r="AM176" s="391"/>
      <c r="AN176" s="392"/>
      <c r="AO176" s="391"/>
      <c r="AP176" s="391"/>
      <c r="AQ176" s="391"/>
      <c r="AR176" s="391"/>
      <c r="AS176" s="392"/>
      <c r="AT176" s="391"/>
      <c r="AU176" s="391"/>
      <c r="AV176" s="391"/>
      <c r="AW176" s="391"/>
      <c r="AX176" s="392"/>
      <c r="AY176" s="391"/>
      <c r="AZ176" s="391"/>
      <c r="BA176" s="391"/>
      <c r="BB176" s="391"/>
      <c r="BC176" s="392"/>
      <c r="BD176" s="391"/>
      <c r="BE176" s="391"/>
      <c r="BF176" s="391"/>
      <c r="BG176" s="391"/>
      <c r="BH176" s="392"/>
      <c r="BI176" s="391"/>
      <c r="BJ176" s="391"/>
      <c r="BK176" s="391"/>
      <c r="BL176" s="391"/>
      <c r="BM176" s="392"/>
      <c r="BN176" s="391"/>
      <c r="BO176" s="391"/>
      <c r="BP176" s="391"/>
      <c r="BQ176" s="391"/>
      <c r="BR176" s="392"/>
      <c r="BS176" s="391"/>
      <c r="BT176" s="391"/>
      <c r="BU176" s="391"/>
      <c r="BV176" s="391"/>
      <c r="BW176" s="9"/>
      <c r="BZ176" s="10"/>
      <c r="CA176" s="10"/>
    </row>
    <row r="177" spans="3:79" ht="7.5" customHeight="1" x14ac:dyDescent="0.2">
      <c r="E177" s="1"/>
      <c r="G177" s="373"/>
      <c r="H177" s="373"/>
      <c r="I177" s="373"/>
      <c r="J177" s="373"/>
      <c r="K177" s="373"/>
      <c r="L177" s="373"/>
      <c r="M177" s="373"/>
      <c r="N177" s="373"/>
      <c r="O177" s="373"/>
      <c r="P177" s="373"/>
      <c r="Q177" s="373"/>
      <c r="R177" s="373"/>
      <c r="S177" s="373"/>
      <c r="T177" s="373"/>
      <c r="U177" s="373"/>
      <c r="V177" s="373"/>
      <c r="W177" s="373"/>
      <c r="X177" s="373"/>
      <c r="Y177" s="373"/>
      <c r="Z177" s="373"/>
      <c r="AA177" s="373"/>
      <c r="AB177" s="373"/>
      <c r="AC177" s="373"/>
      <c r="AD177" s="373"/>
      <c r="AE177" s="373"/>
      <c r="AF177" s="373"/>
      <c r="AG177" s="373"/>
      <c r="AH177" s="373"/>
      <c r="AI177" s="373"/>
      <c r="AJ177" s="373"/>
      <c r="AK177" s="373"/>
      <c r="AL177" s="373"/>
      <c r="AM177" s="373"/>
      <c r="AN177" s="373"/>
      <c r="AO177" s="373"/>
      <c r="AP177" s="373"/>
      <c r="AQ177" s="373"/>
      <c r="AR177" s="373"/>
      <c r="AS177" s="373"/>
      <c r="AT177" s="373"/>
      <c r="AU177" s="373"/>
      <c r="AV177" s="373"/>
      <c r="AW177" s="373"/>
      <c r="AX177" s="373"/>
      <c r="AY177" s="373"/>
      <c r="AZ177" s="373"/>
      <c r="BA177" s="373"/>
      <c r="BB177" s="373"/>
      <c r="BC177" s="373"/>
      <c r="BD177" s="373"/>
      <c r="BE177" s="373"/>
      <c r="BF177" s="373"/>
      <c r="BG177" s="373"/>
      <c r="BH177" s="373"/>
      <c r="BI177" s="373"/>
      <c r="BJ177" s="373"/>
      <c r="BK177" s="373"/>
      <c r="BL177" s="373"/>
      <c r="BM177" s="373"/>
      <c r="BN177" s="373"/>
      <c r="BO177" s="373"/>
      <c r="BP177" s="373"/>
      <c r="BQ177" s="373"/>
      <c r="BR177" s="373"/>
      <c r="BS177" s="373"/>
      <c r="BT177" s="373"/>
      <c r="BU177" s="373"/>
      <c r="BV177" s="373"/>
      <c r="BZ177" s="10"/>
      <c r="CA177" s="10"/>
    </row>
    <row r="178" spans="3:79" ht="12" customHeight="1" x14ac:dyDescent="0.2">
      <c r="C178" s="373"/>
      <c r="D178" s="393"/>
      <c r="E178" s="1"/>
      <c r="G178" s="373"/>
      <c r="H178" s="373"/>
      <c r="I178" s="373"/>
      <c r="J178" s="373"/>
      <c r="K178" s="373"/>
      <c r="L178" s="373"/>
      <c r="M178" s="373"/>
      <c r="N178" s="373"/>
      <c r="O178" s="373"/>
      <c r="P178" s="373"/>
      <c r="Q178" s="373"/>
      <c r="R178" s="373"/>
      <c r="S178" s="373"/>
      <c r="T178" s="373"/>
      <c r="U178" s="373"/>
      <c r="V178" s="373"/>
      <c r="W178" s="373"/>
      <c r="X178" s="373"/>
      <c r="Y178" s="373"/>
      <c r="Z178" s="373"/>
      <c r="AA178" s="373"/>
      <c r="AB178" s="373"/>
      <c r="AC178" s="373"/>
      <c r="AD178" s="373"/>
      <c r="AE178" s="373"/>
      <c r="AF178" s="373"/>
      <c r="AG178" s="373"/>
      <c r="AH178" s="373"/>
      <c r="AI178" s="373"/>
      <c r="AJ178" s="373"/>
      <c r="AK178" s="373"/>
      <c r="AL178" s="373"/>
      <c r="AM178" s="373"/>
      <c r="AN178" s="373"/>
      <c r="AO178" s="373"/>
      <c r="AP178" s="373"/>
      <c r="AQ178" s="373"/>
      <c r="AR178" s="373"/>
      <c r="AS178" s="373"/>
      <c r="AT178" s="373"/>
      <c r="AU178" s="373"/>
      <c r="AV178" s="373"/>
      <c r="AW178" s="373"/>
      <c r="AX178" s="373"/>
      <c r="AY178" s="373"/>
      <c r="AZ178" s="373"/>
      <c r="BA178" s="373"/>
      <c r="BB178" s="373"/>
      <c r="BC178" s="373"/>
      <c r="BD178" s="373"/>
      <c r="BE178" s="373"/>
      <c r="BF178" s="373"/>
      <c r="BG178" s="373"/>
      <c r="BH178" s="373"/>
      <c r="BI178" s="373"/>
      <c r="BJ178" s="373"/>
      <c r="BK178" s="373"/>
      <c r="BL178" s="373"/>
      <c r="BM178" s="373"/>
      <c r="BN178" s="373"/>
      <c r="BO178" s="373"/>
      <c r="BP178" s="373"/>
      <c r="BQ178" s="373"/>
      <c r="BR178" s="373"/>
      <c r="BS178" s="373"/>
      <c r="BT178" s="373"/>
      <c r="BU178" s="373"/>
      <c r="BV178" s="373"/>
      <c r="BZ178" s="10"/>
      <c r="CA178" s="10"/>
    </row>
    <row r="179" spans="3:79" ht="15.75" x14ac:dyDescent="0.25">
      <c r="D179" s="348" t="s">
        <v>377</v>
      </c>
      <c r="E179" s="348"/>
      <c r="F179" s="348"/>
      <c r="G179" s="391"/>
      <c r="H179" s="391"/>
      <c r="I179" s="391"/>
      <c r="J179" s="391"/>
      <c r="K179" s="391"/>
      <c r="L179" s="391"/>
      <c r="M179" s="391"/>
      <c r="N179" s="391"/>
      <c r="O179" s="391"/>
      <c r="P179" s="391"/>
      <c r="Q179" s="391"/>
      <c r="R179" s="391"/>
      <c r="S179" s="391"/>
      <c r="T179" s="391"/>
      <c r="U179" s="391"/>
      <c r="V179" s="391"/>
      <c r="W179" s="391"/>
      <c r="X179" s="391"/>
      <c r="Y179" s="391"/>
      <c r="Z179" s="391"/>
      <c r="AA179" s="391"/>
      <c r="AB179" s="391"/>
      <c r="AC179" s="391"/>
      <c r="AD179" s="391"/>
      <c r="AE179" s="391"/>
      <c r="AF179" s="391"/>
      <c r="AG179" s="391"/>
      <c r="AH179" s="391"/>
      <c r="AI179" s="391"/>
      <c r="AJ179" s="391"/>
      <c r="AK179" s="391"/>
      <c r="AL179" s="391"/>
      <c r="AM179" s="391"/>
      <c r="AN179" s="391"/>
      <c r="AO179" s="391"/>
      <c r="AP179" s="391"/>
      <c r="AQ179" s="391"/>
      <c r="AR179" s="391"/>
      <c r="AS179" s="391"/>
      <c r="AT179" s="391"/>
      <c r="AU179" s="391"/>
      <c r="AV179" s="391"/>
      <c r="AW179" s="391"/>
      <c r="AX179" s="391"/>
      <c r="AY179" s="391"/>
      <c r="AZ179" s="391"/>
      <c r="BA179" s="391"/>
      <c r="BB179" s="391"/>
      <c r="BC179" s="391"/>
      <c r="BD179" s="391"/>
      <c r="BE179" s="391"/>
      <c r="BF179" s="391"/>
      <c r="BG179" s="391"/>
      <c r="BH179" s="391"/>
      <c r="BI179" s="391"/>
      <c r="BJ179" s="391"/>
      <c r="BK179" s="391"/>
      <c r="BL179" s="391"/>
      <c r="BM179" s="391"/>
      <c r="BN179" s="391"/>
      <c r="BO179" s="391"/>
      <c r="BP179" s="391"/>
      <c r="BQ179" s="391"/>
      <c r="BR179" s="391"/>
      <c r="BS179" s="391"/>
      <c r="BT179" s="391"/>
      <c r="BU179" s="391"/>
      <c r="BV179" s="391"/>
      <c r="BZ179" s="10"/>
      <c r="CA179" s="10"/>
    </row>
    <row r="180" spans="3:79" ht="15" customHeight="1" x14ac:dyDescent="0.2">
      <c r="D180" s="394"/>
      <c r="E180" s="320"/>
      <c r="F180" s="158"/>
      <c r="G180" s="298" t="str">
        <f>G2</f>
        <v>2020/21</v>
      </c>
      <c r="H180" s="352"/>
      <c r="I180" s="352"/>
      <c r="J180" s="352"/>
      <c r="K180" s="352"/>
      <c r="L180" s="352"/>
      <c r="M180" s="352"/>
      <c r="N180" s="352"/>
      <c r="O180" s="352"/>
      <c r="P180" s="352"/>
      <c r="Q180" s="352"/>
      <c r="R180" s="352"/>
      <c r="S180" s="352"/>
      <c r="T180" s="352"/>
      <c r="U180" s="352"/>
      <c r="V180" s="352"/>
      <c r="W180" s="352"/>
      <c r="X180" s="352"/>
      <c r="Y180" s="352"/>
      <c r="Z180" s="352"/>
      <c r="AA180" s="352"/>
      <c r="AB180" s="352"/>
      <c r="AC180" s="352"/>
      <c r="AD180" s="352"/>
      <c r="AE180" s="352"/>
      <c r="AF180" s="352"/>
      <c r="AG180" s="352"/>
      <c r="AH180" s="352"/>
      <c r="AI180" s="352"/>
      <c r="AJ180" s="352"/>
      <c r="AK180" s="352"/>
      <c r="AL180" s="352"/>
      <c r="AM180" s="352"/>
      <c r="AN180" s="352"/>
      <c r="AO180" s="352"/>
      <c r="AP180" s="352"/>
      <c r="AQ180" s="352"/>
      <c r="AR180" s="352"/>
      <c r="AS180" s="352"/>
      <c r="AT180" s="352"/>
      <c r="AU180" s="352"/>
      <c r="AV180" s="352"/>
      <c r="AW180" s="352"/>
      <c r="AX180" s="352"/>
      <c r="AY180" s="352"/>
      <c r="AZ180" s="352"/>
      <c r="BA180" s="352"/>
      <c r="BB180" s="352"/>
      <c r="BC180" s="352"/>
      <c r="BD180" s="352"/>
      <c r="BE180" s="352"/>
      <c r="BF180" s="352"/>
      <c r="BG180" s="352"/>
      <c r="BH180" s="352"/>
      <c r="BI180" s="352"/>
      <c r="BJ180" s="352"/>
      <c r="BK180" s="352"/>
      <c r="BL180" s="352"/>
      <c r="BM180" s="352"/>
      <c r="BN180" s="352"/>
      <c r="BO180" s="352"/>
      <c r="BP180" s="352"/>
      <c r="BQ180" s="352"/>
      <c r="BR180" s="352"/>
      <c r="BS180" s="352"/>
      <c r="BT180" s="352"/>
      <c r="BU180" s="395"/>
      <c r="BV180" s="395"/>
      <c r="BW180" s="9"/>
      <c r="BZ180" s="10"/>
      <c r="CA180" s="10"/>
    </row>
    <row r="181" spans="3:79" ht="18" customHeight="1" x14ac:dyDescent="0.2">
      <c r="D181" s="42"/>
      <c r="G181" s="35" t="str">
        <f>G3</f>
        <v>Revised</v>
      </c>
      <c r="H181" s="19"/>
      <c r="I181" s="19"/>
      <c r="J181" s="36"/>
      <c r="K181" s="19"/>
      <c r="L181" s="19" t="s">
        <v>4</v>
      </c>
      <c r="M181" s="19"/>
      <c r="N181" s="19"/>
      <c r="O181" s="36"/>
      <c r="P181" s="19"/>
      <c r="Q181" s="19" t="s">
        <v>5</v>
      </c>
      <c r="R181" s="19"/>
      <c r="S181" s="19"/>
      <c r="T181" s="36"/>
      <c r="U181" s="19"/>
      <c r="V181" s="19" t="s">
        <v>6</v>
      </c>
      <c r="W181" s="19"/>
      <c r="X181" s="19"/>
      <c r="Y181" s="36"/>
      <c r="Z181" s="19"/>
      <c r="AA181" s="19" t="s">
        <v>7</v>
      </c>
      <c r="AB181" s="19"/>
      <c r="AC181" s="19"/>
      <c r="AD181" s="36"/>
      <c r="AE181" s="19"/>
      <c r="AF181" s="19" t="s">
        <v>8</v>
      </c>
      <c r="AG181" s="19"/>
      <c r="AH181" s="19"/>
      <c r="AI181" s="36"/>
      <c r="AJ181" s="19"/>
      <c r="AK181" s="19" t="s">
        <v>9</v>
      </c>
      <c r="AL181" s="19"/>
      <c r="AM181" s="19"/>
      <c r="AN181" s="36"/>
      <c r="AO181" s="19"/>
      <c r="AP181" s="19" t="s">
        <v>10</v>
      </c>
      <c r="AQ181" s="19"/>
      <c r="AR181" s="19"/>
      <c r="AS181" s="36"/>
      <c r="AT181" s="19"/>
      <c r="AU181" s="19" t="s">
        <v>11</v>
      </c>
      <c r="AV181" s="19"/>
      <c r="AW181" s="19"/>
      <c r="AX181" s="36"/>
      <c r="AY181" s="19"/>
      <c r="AZ181" s="19" t="s">
        <v>12</v>
      </c>
      <c r="BA181" s="19"/>
      <c r="BB181" s="19"/>
      <c r="BC181" s="36"/>
      <c r="BD181" s="19"/>
      <c r="BE181" s="19" t="s">
        <v>13</v>
      </c>
      <c r="BF181" s="19"/>
      <c r="BG181" s="19"/>
      <c r="BH181" s="36"/>
      <c r="BI181" s="35"/>
      <c r="BJ181" s="35" t="s">
        <v>14</v>
      </c>
      <c r="BK181" s="35"/>
      <c r="BL181" s="13"/>
      <c r="BM181" s="36"/>
      <c r="BN181" s="35"/>
      <c r="BO181" s="35" t="s">
        <v>15</v>
      </c>
      <c r="BP181" s="35"/>
      <c r="BQ181" s="13"/>
      <c r="BR181" s="36"/>
      <c r="BS181" s="35"/>
      <c r="BT181" s="19" t="s">
        <v>16</v>
      </c>
      <c r="BU181" s="19"/>
      <c r="BV181" s="19"/>
      <c r="BW181" s="9"/>
      <c r="BZ181" s="10"/>
      <c r="CA181" s="10"/>
    </row>
    <row r="182" spans="3:79" x14ac:dyDescent="0.2">
      <c r="D182" s="300" t="s">
        <v>17</v>
      </c>
      <c r="E182" s="353"/>
      <c r="F182" s="354"/>
      <c r="G182" s="89" t="s">
        <v>18</v>
      </c>
      <c r="H182" s="89"/>
      <c r="I182" s="22"/>
      <c r="J182" s="302"/>
      <c r="K182" s="89"/>
      <c r="L182" s="89"/>
      <c r="M182" s="89"/>
      <c r="N182" s="89"/>
      <c r="O182" s="302"/>
      <c r="P182" s="89"/>
      <c r="Q182" s="89"/>
      <c r="R182" s="89"/>
      <c r="S182" s="89"/>
      <c r="T182" s="302"/>
      <c r="U182" s="89"/>
      <c r="V182" s="89"/>
      <c r="W182" s="89"/>
      <c r="X182" s="89"/>
      <c r="Y182" s="302"/>
      <c r="Z182" s="89"/>
      <c r="AA182" s="89"/>
      <c r="AB182" s="89"/>
      <c r="AC182" s="89"/>
      <c r="AD182" s="302"/>
      <c r="AE182" s="89"/>
      <c r="AF182" s="89"/>
      <c r="AG182" s="89"/>
      <c r="AH182" s="89"/>
      <c r="AI182" s="302"/>
      <c r="AJ182" s="89"/>
      <c r="AK182" s="89"/>
      <c r="AL182" s="89"/>
      <c r="AM182" s="89"/>
      <c r="AN182" s="302"/>
      <c r="AO182" s="89"/>
      <c r="AP182" s="89"/>
      <c r="AQ182" s="89"/>
      <c r="AR182" s="89"/>
      <c r="AS182" s="302"/>
      <c r="AT182" s="89"/>
      <c r="AU182" s="89"/>
      <c r="AV182" s="89"/>
      <c r="AW182" s="89"/>
      <c r="AX182" s="302"/>
      <c r="AY182" s="89"/>
      <c r="AZ182" s="89"/>
      <c r="BA182" s="89"/>
      <c r="BB182" s="89"/>
      <c r="BC182" s="302"/>
      <c r="BD182" s="89"/>
      <c r="BE182" s="89"/>
      <c r="BF182" s="89"/>
      <c r="BG182" s="89"/>
      <c r="BH182" s="302"/>
      <c r="BI182" s="89"/>
      <c r="BJ182" s="89"/>
      <c r="BK182" s="89"/>
      <c r="BL182" s="22"/>
      <c r="BM182" s="302"/>
      <c r="BN182" s="89"/>
      <c r="BO182" s="89"/>
      <c r="BP182" s="89"/>
      <c r="BQ182" s="22"/>
      <c r="BR182" s="302"/>
      <c r="BS182" s="89"/>
      <c r="BT182" s="89"/>
      <c r="BU182" s="89"/>
      <c r="BV182" s="22"/>
      <c r="BW182" s="9"/>
      <c r="BZ182" s="10"/>
      <c r="CA182" s="10"/>
    </row>
    <row r="183" spans="3:79" x14ac:dyDescent="0.2">
      <c r="D183" s="9"/>
      <c r="E183" s="397"/>
      <c r="F183" s="149"/>
      <c r="G183" s="373"/>
      <c r="H183" s="373"/>
      <c r="I183" s="373"/>
      <c r="J183" s="374"/>
      <c r="K183" s="149"/>
      <c r="L183" s="373"/>
      <c r="M183" s="373"/>
      <c r="N183" s="373"/>
      <c r="O183" s="374"/>
      <c r="P183" s="149"/>
      <c r="Q183" s="373"/>
      <c r="R183" s="373"/>
      <c r="S183" s="373"/>
      <c r="T183" s="374"/>
      <c r="U183" s="149"/>
      <c r="V183" s="373"/>
      <c r="W183" s="373"/>
      <c r="X183" s="373"/>
      <c r="Y183" s="374"/>
      <c r="Z183" s="149"/>
      <c r="AA183" s="373"/>
      <c r="AB183" s="373"/>
      <c r="AC183" s="373"/>
      <c r="AD183" s="374"/>
      <c r="AE183" s="149"/>
      <c r="AF183" s="373"/>
      <c r="AG183" s="373"/>
      <c r="AH183" s="373"/>
      <c r="AI183" s="374"/>
      <c r="AJ183" s="149"/>
      <c r="AK183" s="373"/>
      <c r="AL183" s="373"/>
      <c r="AM183" s="373"/>
      <c r="AN183" s="374"/>
      <c r="AO183" s="149"/>
      <c r="AP183" s="373"/>
      <c r="AQ183" s="373"/>
      <c r="AR183" s="373"/>
      <c r="AS183" s="374"/>
      <c r="AT183" s="149"/>
      <c r="AU183" s="373"/>
      <c r="AV183" s="373"/>
      <c r="AW183" s="373"/>
      <c r="AX183" s="374"/>
      <c r="AY183" s="149"/>
      <c r="AZ183" s="373"/>
      <c r="BA183" s="373"/>
      <c r="BB183" s="373"/>
      <c r="BC183" s="374"/>
      <c r="BD183" s="149"/>
      <c r="BE183" s="373"/>
      <c r="BF183" s="373"/>
      <c r="BG183" s="373"/>
      <c r="BH183" s="374"/>
      <c r="BI183" s="149"/>
      <c r="BJ183" s="373"/>
      <c r="BK183" s="373"/>
      <c r="BL183" s="373"/>
      <c r="BM183" s="374"/>
      <c r="BN183" s="149"/>
      <c r="BO183" s="373"/>
      <c r="BP183" s="373"/>
      <c r="BQ183" s="373"/>
      <c r="BR183" s="374"/>
      <c r="BS183" s="149"/>
      <c r="BT183" s="373"/>
      <c r="BU183" s="373"/>
      <c r="BV183" s="373"/>
      <c r="BW183" s="9"/>
      <c r="BZ183" s="10"/>
      <c r="CA183" s="10"/>
    </row>
    <row r="184" spans="3:79" x14ac:dyDescent="0.2">
      <c r="D184" s="9" t="s">
        <v>378</v>
      </c>
      <c r="F184" s="158"/>
      <c r="G184" s="385">
        <v>0</v>
      </c>
      <c r="H184" s="385"/>
      <c r="I184" s="373"/>
      <c r="J184" s="374"/>
      <c r="K184" s="158"/>
      <c r="L184" s="385">
        <f>SUM(L185:L196)</f>
        <v>0</v>
      </c>
      <c r="M184" s="385"/>
      <c r="N184" s="373"/>
      <c r="O184" s="374"/>
      <c r="P184" s="158"/>
      <c r="Q184" s="385">
        <f>SUM(Q185:Q196)</f>
        <v>0</v>
      </c>
      <c r="R184" s="385"/>
      <c r="S184" s="373"/>
      <c r="T184" s="374"/>
      <c r="U184" s="158"/>
      <c r="V184" s="385">
        <f>SUM(V185:V196)</f>
        <v>0</v>
      </c>
      <c r="W184" s="385"/>
      <c r="X184" s="373"/>
      <c r="Y184" s="374"/>
      <c r="Z184" s="158"/>
      <c r="AA184" s="385">
        <f>SUM(AA185:AA196)</f>
        <v>0</v>
      </c>
      <c r="AB184" s="385"/>
      <c r="AC184" s="373"/>
      <c r="AD184" s="374"/>
      <c r="AE184" s="158"/>
      <c r="AF184" s="385">
        <f>SUM(AF185:AF196)</f>
        <v>0</v>
      </c>
      <c r="AG184" s="385"/>
      <c r="AH184" s="373"/>
      <c r="AI184" s="374"/>
      <c r="AJ184" s="158"/>
      <c r="AK184" s="385">
        <f>SUM(AK185:AK196)</f>
        <v>0</v>
      </c>
      <c r="AL184" s="385"/>
      <c r="AM184" s="373"/>
      <c r="AN184" s="374"/>
      <c r="AO184" s="158"/>
      <c r="AP184" s="385">
        <f>SUM(AP185:AP196)</f>
        <v>0</v>
      </c>
      <c r="AQ184" s="385"/>
      <c r="AR184" s="373"/>
      <c r="AS184" s="374"/>
      <c r="AT184" s="158"/>
      <c r="AU184" s="385">
        <f>SUM(AU185:AU196)</f>
        <v>0</v>
      </c>
      <c r="AV184" s="385"/>
      <c r="AW184" s="373"/>
      <c r="AX184" s="374"/>
      <c r="AY184" s="158"/>
      <c r="AZ184" s="385">
        <f>SUM(AZ185:AZ196)</f>
        <v>0</v>
      </c>
      <c r="BA184" s="385"/>
      <c r="BB184" s="373"/>
      <c r="BC184" s="374"/>
      <c r="BD184" s="158"/>
      <c r="BE184" s="385">
        <f>SUM(BE185:BE196)</f>
        <v>0</v>
      </c>
      <c r="BF184" s="385"/>
      <c r="BG184" s="373"/>
      <c r="BH184" s="374"/>
      <c r="BI184" s="158"/>
      <c r="BJ184" s="385">
        <f>SUM(BJ185:BJ196)</f>
        <v>0</v>
      </c>
      <c r="BK184" s="385"/>
      <c r="BL184" s="373"/>
      <c r="BM184" s="374"/>
      <c r="BN184" s="158"/>
      <c r="BO184" s="385">
        <f>SUM(BO185:BO196)</f>
        <v>0</v>
      </c>
      <c r="BP184" s="385"/>
      <c r="BQ184" s="373"/>
      <c r="BR184" s="374"/>
      <c r="BS184" s="158"/>
      <c r="BT184" s="385">
        <f>SUM(BT185:BT196)</f>
        <v>0</v>
      </c>
      <c r="BU184" s="385"/>
      <c r="BV184" s="373"/>
      <c r="BW184" s="9"/>
      <c r="BZ184" s="10"/>
      <c r="CA184" s="10"/>
    </row>
    <row r="185" spans="3:79" ht="12.75" hidden="1" customHeight="1" x14ac:dyDescent="0.2">
      <c r="D185" s="9" t="s">
        <v>379</v>
      </c>
      <c r="F185" s="309"/>
      <c r="G185" s="371">
        <v>0</v>
      </c>
      <c r="H185" s="372"/>
      <c r="I185" s="373"/>
      <c r="J185" s="374"/>
      <c r="K185" s="309"/>
      <c r="L185" s="371">
        <v>0</v>
      </c>
      <c r="M185" s="372"/>
      <c r="N185" s="373"/>
      <c r="O185" s="374"/>
      <c r="P185" s="309"/>
      <c r="Q185" s="371">
        <v>0</v>
      </c>
      <c r="R185" s="372"/>
      <c r="S185" s="373"/>
      <c r="T185" s="374"/>
      <c r="U185" s="158"/>
      <c r="V185" s="371">
        <v>0</v>
      </c>
      <c r="W185" s="385"/>
      <c r="X185" s="373"/>
      <c r="Y185" s="374"/>
      <c r="Z185" s="309"/>
      <c r="AA185" s="371">
        <v>0</v>
      </c>
      <c r="AB185" s="372"/>
      <c r="AC185" s="373"/>
      <c r="AD185" s="374"/>
      <c r="AE185" s="309"/>
      <c r="AF185" s="371">
        <v>0</v>
      </c>
      <c r="AG185" s="372"/>
      <c r="AH185" s="373"/>
      <c r="AI185" s="374"/>
      <c r="AJ185" s="309"/>
      <c r="AK185" s="371">
        <v>0</v>
      </c>
      <c r="AL185" s="372"/>
      <c r="AM185" s="373"/>
      <c r="AN185" s="374"/>
      <c r="AO185" s="309"/>
      <c r="AP185" s="371">
        <v>0</v>
      </c>
      <c r="AQ185" s="372"/>
      <c r="AR185" s="373"/>
      <c r="AS185" s="374"/>
      <c r="AT185" s="309"/>
      <c r="AU185" s="371">
        <v>0</v>
      </c>
      <c r="AV185" s="372"/>
      <c r="AW185" s="373"/>
      <c r="AX185" s="374"/>
      <c r="AY185" s="309"/>
      <c r="AZ185" s="371">
        <v>0</v>
      </c>
      <c r="BA185" s="372"/>
      <c r="BB185" s="373"/>
      <c r="BC185" s="374"/>
      <c r="BD185" s="309"/>
      <c r="BE185" s="371">
        <v>0</v>
      </c>
      <c r="BF185" s="372"/>
      <c r="BG185" s="373"/>
      <c r="BH185" s="374"/>
      <c r="BI185" s="309"/>
      <c r="BJ185" s="371">
        <v>0</v>
      </c>
      <c r="BK185" s="372"/>
      <c r="BL185" s="373"/>
      <c r="BM185" s="374"/>
      <c r="BN185" s="309"/>
      <c r="BO185" s="371">
        <v>0</v>
      </c>
      <c r="BP185" s="372"/>
      <c r="BQ185" s="373"/>
      <c r="BR185" s="374"/>
      <c r="BS185" s="309"/>
      <c r="BT185" s="371">
        <f t="shared" ref="BT185:BT196" si="0">SUM(L185:BO185)</f>
        <v>0</v>
      </c>
      <c r="BU185" s="372"/>
      <c r="BV185" s="373"/>
      <c r="BW185" s="9"/>
      <c r="BZ185" s="10"/>
      <c r="CA185" s="10"/>
    </row>
    <row r="186" spans="3:79" ht="12.75" hidden="1" customHeight="1" x14ac:dyDescent="0.2">
      <c r="D186" s="9" t="s">
        <v>380</v>
      </c>
      <c r="F186" s="156"/>
      <c r="G186" s="373">
        <v>0</v>
      </c>
      <c r="H186" s="377"/>
      <c r="I186" s="373"/>
      <c r="J186" s="374"/>
      <c r="K186" s="156"/>
      <c r="L186" s="373">
        <v>0</v>
      </c>
      <c r="M186" s="377"/>
      <c r="N186" s="373"/>
      <c r="O186" s="374"/>
      <c r="P186" s="156"/>
      <c r="Q186" s="373">
        <v>0</v>
      </c>
      <c r="R186" s="377"/>
      <c r="S186" s="373"/>
      <c r="T186" s="374"/>
      <c r="U186" s="156"/>
      <c r="V186" s="373">
        <v>0</v>
      </c>
      <c r="W186" s="377"/>
      <c r="X186" s="373"/>
      <c r="Y186" s="374"/>
      <c r="Z186" s="156"/>
      <c r="AA186" s="373">
        <v>0</v>
      </c>
      <c r="AB186" s="377"/>
      <c r="AC186" s="373"/>
      <c r="AD186" s="374"/>
      <c r="AE186" s="156"/>
      <c r="AF186" s="373">
        <v>0</v>
      </c>
      <c r="AG186" s="377"/>
      <c r="AH186" s="373"/>
      <c r="AI186" s="374"/>
      <c r="AJ186" s="156"/>
      <c r="AK186" s="373">
        <v>0</v>
      </c>
      <c r="AL186" s="377"/>
      <c r="AM186" s="373"/>
      <c r="AN186" s="374"/>
      <c r="AO186" s="156"/>
      <c r="AP186" s="373">
        <v>0</v>
      </c>
      <c r="AQ186" s="377"/>
      <c r="AR186" s="373"/>
      <c r="AS186" s="374"/>
      <c r="AT186" s="156"/>
      <c r="AU186" s="373">
        <v>0</v>
      </c>
      <c r="AV186" s="377"/>
      <c r="AW186" s="373"/>
      <c r="AX186" s="374"/>
      <c r="AY186" s="156"/>
      <c r="AZ186" s="373">
        <v>0</v>
      </c>
      <c r="BA186" s="377"/>
      <c r="BB186" s="373"/>
      <c r="BC186" s="374"/>
      <c r="BD186" s="156"/>
      <c r="BE186" s="373">
        <v>0</v>
      </c>
      <c r="BF186" s="377"/>
      <c r="BG186" s="373"/>
      <c r="BH186" s="374"/>
      <c r="BI186" s="156"/>
      <c r="BJ186" s="373">
        <v>0</v>
      </c>
      <c r="BK186" s="377"/>
      <c r="BL186" s="373"/>
      <c r="BM186" s="374"/>
      <c r="BN186" s="156"/>
      <c r="BO186" s="373">
        <v>0</v>
      </c>
      <c r="BP186" s="377"/>
      <c r="BQ186" s="373"/>
      <c r="BR186" s="374"/>
      <c r="BS186" s="156"/>
      <c r="BT186" s="373">
        <f t="shared" si="0"/>
        <v>0</v>
      </c>
      <c r="BU186" s="377"/>
      <c r="BV186" s="373"/>
      <c r="BW186" s="9"/>
      <c r="BZ186" s="10"/>
      <c r="CA186" s="10"/>
    </row>
    <row r="187" spans="3:79" ht="12.75" hidden="1" customHeight="1" x14ac:dyDescent="0.2">
      <c r="D187" s="9" t="s">
        <v>381</v>
      </c>
      <c r="F187" s="156"/>
      <c r="G187" s="373">
        <v>0</v>
      </c>
      <c r="H187" s="377"/>
      <c r="I187" s="373"/>
      <c r="J187" s="374"/>
      <c r="K187" s="156"/>
      <c r="L187" s="373">
        <v>0</v>
      </c>
      <c r="M187" s="377"/>
      <c r="N187" s="373"/>
      <c r="O187" s="374"/>
      <c r="P187" s="156"/>
      <c r="Q187" s="373">
        <v>0</v>
      </c>
      <c r="R187" s="377"/>
      <c r="S187" s="373"/>
      <c r="T187" s="374"/>
      <c r="U187" s="156"/>
      <c r="V187" s="373">
        <v>0</v>
      </c>
      <c r="W187" s="377"/>
      <c r="X187" s="373"/>
      <c r="Y187" s="374"/>
      <c r="Z187" s="156"/>
      <c r="AA187" s="373">
        <v>0</v>
      </c>
      <c r="AB187" s="377"/>
      <c r="AC187" s="373"/>
      <c r="AD187" s="374"/>
      <c r="AE187" s="156"/>
      <c r="AF187" s="373">
        <v>0</v>
      </c>
      <c r="AG187" s="377"/>
      <c r="AH187" s="373"/>
      <c r="AI187" s="374"/>
      <c r="AJ187" s="156"/>
      <c r="AK187" s="373">
        <v>0</v>
      </c>
      <c r="AL187" s="377"/>
      <c r="AM187" s="373"/>
      <c r="AN187" s="374"/>
      <c r="AO187" s="156"/>
      <c r="AP187" s="373">
        <v>0</v>
      </c>
      <c r="AQ187" s="377"/>
      <c r="AR187" s="373"/>
      <c r="AS187" s="374"/>
      <c r="AT187" s="156"/>
      <c r="AU187" s="373">
        <v>0</v>
      </c>
      <c r="AV187" s="377"/>
      <c r="AW187" s="373"/>
      <c r="AX187" s="374"/>
      <c r="AY187" s="156"/>
      <c r="AZ187" s="373">
        <v>0</v>
      </c>
      <c r="BA187" s="377"/>
      <c r="BB187" s="373"/>
      <c r="BC187" s="374"/>
      <c r="BD187" s="156"/>
      <c r="BE187" s="373">
        <v>0</v>
      </c>
      <c r="BF187" s="377"/>
      <c r="BG187" s="373"/>
      <c r="BH187" s="374"/>
      <c r="BI187" s="156"/>
      <c r="BJ187" s="373">
        <v>0</v>
      </c>
      <c r="BK187" s="377"/>
      <c r="BL187" s="373"/>
      <c r="BM187" s="374"/>
      <c r="BN187" s="156"/>
      <c r="BO187" s="373">
        <v>0</v>
      </c>
      <c r="BP187" s="377"/>
      <c r="BQ187" s="373"/>
      <c r="BR187" s="374"/>
      <c r="BS187" s="156"/>
      <c r="BT187" s="373">
        <f>SUM(L187:BO187)</f>
        <v>0</v>
      </c>
      <c r="BU187" s="377"/>
      <c r="BV187" s="373"/>
      <c r="BW187" s="9"/>
      <c r="BZ187" s="10"/>
      <c r="CA187" s="10"/>
    </row>
    <row r="188" spans="3:79" ht="12.75" hidden="1" customHeight="1" x14ac:dyDescent="0.2">
      <c r="D188" s="9" t="s">
        <v>382</v>
      </c>
      <c r="F188" s="156"/>
      <c r="G188" s="373">
        <v>0</v>
      </c>
      <c r="H188" s="377"/>
      <c r="I188" s="373"/>
      <c r="J188" s="374"/>
      <c r="K188" s="156"/>
      <c r="L188" s="373">
        <v>0</v>
      </c>
      <c r="M188" s="377"/>
      <c r="N188" s="373"/>
      <c r="O188" s="374"/>
      <c r="P188" s="156"/>
      <c r="Q188" s="373">
        <v>0</v>
      </c>
      <c r="R188" s="377"/>
      <c r="S188" s="373"/>
      <c r="T188" s="374"/>
      <c r="U188" s="156"/>
      <c r="V188" s="373">
        <v>0</v>
      </c>
      <c r="W188" s="377"/>
      <c r="X188" s="373"/>
      <c r="Y188" s="374"/>
      <c r="Z188" s="156"/>
      <c r="AA188" s="373">
        <v>0</v>
      </c>
      <c r="AB188" s="377"/>
      <c r="AC188" s="373"/>
      <c r="AD188" s="374"/>
      <c r="AE188" s="156"/>
      <c r="AF188" s="373">
        <v>0</v>
      </c>
      <c r="AG188" s="377"/>
      <c r="AH188" s="373"/>
      <c r="AI188" s="374"/>
      <c r="AJ188" s="156"/>
      <c r="AK188" s="373">
        <v>0</v>
      </c>
      <c r="AL188" s="377"/>
      <c r="AM188" s="373"/>
      <c r="AN188" s="374"/>
      <c r="AO188" s="156"/>
      <c r="AP188" s="373">
        <v>0</v>
      </c>
      <c r="AQ188" s="377"/>
      <c r="AR188" s="373"/>
      <c r="AS188" s="374"/>
      <c r="AT188" s="156"/>
      <c r="AU188" s="373">
        <v>0</v>
      </c>
      <c r="AV188" s="377"/>
      <c r="AW188" s="373"/>
      <c r="AX188" s="374"/>
      <c r="AY188" s="156"/>
      <c r="AZ188" s="373">
        <v>0</v>
      </c>
      <c r="BA188" s="377"/>
      <c r="BB188" s="373"/>
      <c r="BC188" s="374"/>
      <c r="BD188" s="156"/>
      <c r="BE188" s="373">
        <v>0</v>
      </c>
      <c r="BF188" s="377"/>
      <c r="BG188" s="373"/>
      <c r="BH188" s="374"/>
      <c r="BI188" s="156"/>
      <c r="BJ188" s="373">
        <v>0</v>
      </c>
      <c r="BK188" s="377"/>
      <c r="BL188" s="373"/>
      <c r="BM188" s="374"/>
      <c r="BN188" s="156"/>
      <c r="BO188" s="373">
        <v>0</v>
      </c>
      <c r="BP188" s="377"/>
      <c r="BQ188" s="373"/>
      <c r="BR188" s="374"/>
      <c r="BS188" s="156"/>
      <c r="BT188" s="373">
        <f t="shared" si="0"/>
        <v>0</v>
      </c>
      <c r="BU188" s="377"/>
      <c r="BV188" s="373"/>
      <c r="BW188" s="9"/>
      <c r="BZ188" s="10"/>
      <c r="CA188" s="10"/>
    </row>
    <row r="189" spans="3:79" ht="12.75" hidden="1" customHeight="1" x14ac:dyDescent="0.2">
      <c r="D189" s="9" t="s">
        <v>383</v>
      </c>
      <c r="F189" s="156"/>
      <c r="G189" s="373">
        <v>0</v>
      </c>
      <c r="H189" s="377"/>
      <c r="I189" s="373"/>
      <c r="J189" s="374"/>
      <c r="K189" s="156"/>
      <c r="L189" s="373">
        <v>0</v>
      </c>
      <c r="M189" s="377"/>
      <c r="N189" s="373"/>
      <c r="O189" s="374"/>
      <c r="P189" s="156"/>
      <c r="Q189" s="373">
        <v>0</v>
      </c>
      <c r="R189" s="377"/>
      <c r="S189" s="373"/>
      <c r="T189" s="374"/>
      <c r="U189" s="156"/>
      <c r="V189" s="373">
        <v>0</v>
      </c>
      <c r="W189" s="377"/>
      <c r="X189" s="373"/>
      <c r="Y189" s="374"/>
      <c r="Z189" s="156"/>
      <c r="AA189" s="373">
        <v>0</v>
      </c>
      <c r="AB189" s="377"/>
      <c r="AC189" s="373"/>
      <c r="AD189" s="374"/>
      <c r="AE189" s="156"/>
      <c r="AF189" s="373">
        <v>0</v>
      </c>
      <c r="AG189" s="377"/>
      <c r="AH189" s="373"/>
      <c r="AI189" s="374"/>
      <c r="AJ189" s="156"/>
      <c r="AK189" s="373">
        <v>0</v>
      </c>
      <c r="AL189" s="377"/>
      <c r="AM189" s="373"/>
      <c r="AN189" s="374"/>
      <c r="AO189" s="156"/>
      <c r="AP189" s="373">
        <v>0</v>
      </c>
      <c r="AQ189" s="377"/>
      <c r="AR189" s="373"/>
      <c r="AS189" s="374"/>
      <c r="AT189" s="156"/>
      <c r="AU189" s="373">
        <v>0</v>
      </c>
      <c r="AV189" s="377"/>
      <c r="AW189" s="373"/>
      <c r="AX189" s="374"/>
      <c r="AY189" s="156"/>
      <c r="AZ189" s="373">
        <v>0</v>
      </c>
      <c r="BA189" s="377"/>
      <c r="BB189" s="373"/>
      <c r="BC189" s="374"/>
      <c r="BD189" s="156"/>
      <c r="BE189" s="373">
        <v>0</v>
      </c>
      <c r="BF189" s="377"/>
      <c r="BG189" s="373"/>
      <c r="BH189" s="374"/>
      <c r="BI189" s="156"/>
      <c r="BJ189" s="373">
        <v>0</v>
      </c>
      <c r="BK189" s="377"/>
      <c r="BL189" s="373"/>
      <c r="BM189" s="374"/>
      <c r="BN189" s="156"/>
      <c r="BO189" s="373">
        <v>0</v>
      </c>
      <c r="BP189" s="377"/>
      <c r="BQ189" s="373"/>
      <c r="BR189" s="374"/>
      <c r="BS189" s="156"/>
      <c r="BT189" s="373">
        <f t="shared" si="0"/>
        <v>0</v>
      </c>
      <c r="BU189" s="377"/>
      <c r="BV189" s="373"/>
      <c r="BW189" s="9"/>
      <c r="BZ189" s="10"/>
      <c r="CA189" s="10"/>
    </row>
    <row r="190" spans="3:79" ht="12.75" hidden="1" customHeight="1" x14ac:dyDescent="0.2">
      <c r="D190" s="9" t="s">
        <v>384</v>
      </c>
      <c r="F190" s="156"/>
      <c r="G190" s="373">
        <v>0</v>
      </c>
      <c r="H190" s="377"/>
      <c r="I190" s="373"/>
      <c r="J190" s="374"/>
      <c r="K190" s="156"/>
      <c r="L190" s="373">
        <v>0</v>
      </c>
      <c r="M190" s="377"/>
      <c r="N190" s="373"/>
      <c r="O190" s="374"/>
      <c r="P190" s="156"/>
      <c r="Q190" s="373">
        <v>0</v>
      </c>
      <c r="R190" s="377"/>
      <c r="S190" s="373"/>
      <c r="T190" s="374"/>
      <c r="U190" s="156"/>
      <c r="V190" s="373">
        <v>0</v>
      </c>
      <c r="W190" s="377"/>
      <c r="X190" s="373"/>
      <c r="Y190" s="374"/>
      <c r="Z190" s="156"/>
      <c r="AA190" s="373">
        <v>0</v>
      </c>
      <c r="AB190" s="377"/>
      <c r="AC190" s="373"/>
      <c r="AD190" s="374"/>
      <c r="AE190" s="156"/>
      <c r="AF190" s="373">
        <v>0</v>
      </c>
      <c r="AG190" s="377"/>
      <c r="AH190" s="373"/>
      <c r="AI190" s="374"/>
      <c r="AJ190" s="156"/>
      <c r="AK190" s="373">
        <v>0</v>
      </c>
      <c r="AL190" s="377"/>
      <c r="AM190" s="373"/>
      <c r="AN190" s="374"/>
      <c r="AO190" s="156"/>
      <c r="AP190" s="373">
        <v>0</v>
      </c>
      <c r="AQ190" s="377"/>
      <c r="AR190" s="373"/>
      <c r="AS190" s="374"/>
      <c r="AT190" s="156"/>
      <c r="AU190" s="373">
        <v>0</v>
      </c>
      <c r="AV190" s="377"/>
      <c r="AW190" s="373"/>
      <c r="AX190" s="374"/>
      <c r="AY190" s="156"/>
      <c r="AZ190" s="373">
        <v>0</v>
      </c>
      <c r="BA190" s="377"/>
      <c r="BB190" s="373"/>
      <c r="BC190" s="374"/>
      <c r="BD190" s="156"/>
      <c r="BE190" s="373">
        <v>0</v>
      </c>
      <c r="BF190" s="377"/>
      <c r="BG190" s="373"/>
      <c r="BH190" s="374"/>
      <c r="BI190" s="156"/>
      <c r="BJ190" s="373">
        <v>0</v>
      </c>
      <c r="BK190" s="377"/>
      <c r="BL190" s="373"/>
      <c r="BM190" s="374"/>
      <c r="BN190" s="156"/>
      <c r="BO190" s="373">
        <v>0</v>
      </c>
      <c r="BP190" s="377"/>
      <c r="BQ190" s="373"/>
      <c r="BR190" s="374"/>
      <c r="BS190" s="156"/>
      <c r="BT190" s="373">
        <f t="shared" si="0"/>
        <v>0</v>
      </c>
      <c r="BU190" s="377"/>
      <c r="BV190" s="373"/>
      <c r="BW190" s="9"/>
      <c r="BZ190" s="10"/>
      <c r="CA190" s="10"/>
    </row>
    <row r="191" spans="3:79" ht="12.75" hidden="1" customHeight="1" x14ac:dyDescent="0.2">
      <c r="D191" s="9" t="s">
        <v>385</v>
      </c>
      <c r="F191" s="156"/>
      <c r="G191" s="373">
        <v>0</v>
      </c>
      <c r="H191" s="377"/>
      <c r="I191" s="373"/>
      <c r="J191" s="374"/>
      <c r="K191" s="156"/>
      <c r="L191" s="373">
        <v>0</v>
      </c>
      <c r="M191" s="377"/>
      <c r="N191" s="373"/>
      <c r="O191" s="374"/>
      <c r="P191" s="156"/>
      <c r="Q191" s="373">
        <v>0</v>
      </c>
      <c r="R191" s="377"/>
      <c r="S191" s="373"/>
      <c r="T191" s="374"/>
      <c r="U191" s="156"/>
      <c r="V191" s="373">
        <v>0</v>
      </c>
      <c r="W191" s="377"/>
      <c r="X191" s="373"/>
      <c r="Y191" s="374"/>
      <c r="Z191" s="156"/>
      <c r="AA191" s="373">
        <v>0</v>
      </c>
      <c r="AB191" s="377"/>
      <c r="AC191" s="373"/>
      <c r="AD191" s="374"/>
      <c r="AE191" s="156"/>
      <c r="AF191" s="373">
        <v>0</v>
      </c>
      <c r="AG191" s="377"/>
      <c r="AH191" s="373"/>
      <c r="AI191" s="374"/>
      <c r="AJ191" s="156"/>
      <c r="AK191" s="373">
        <v>0</v>
      </c>
      <c r="AL191" s="377"/>
      <c r="AM191" s="373"/>
      <c r="AN191" s="374"/>
      <c r="AO191" s="156"/>
      <c r="AP191" s="373">
        <v>0</v>
      </c>
      <c r="AQ191" s="377"/>
      <c r="AR191" s="373"/>
      <c r="AS191" s="374"/>
      <c r="AT191" s="156"/>
      <c r="AU191" s="373">
        <v>0</v>
      </c>
      <c r="AV191" s="377"/>
      <c r="AW191" s="373"/>
      <c r="AX191" s="374"/>
      <c r="AY191" s="156"/>
      <c r="AZ191" s="373">
        <v>0</v>
      </c>
      <c r="BA191" s="377"/>
      <c r="BB191" s="373"/>
      <c r="BC191" s="374"/>
      <c r="BD191" s="156"/>
      <c r="BE191" s="373">
        <v>0</v>
      </c>
      <c r="BF191" s="377"/>
      <c r="BG191" s="373"/>
      <c r="BH191" s="374"/>
      <c r="BI191" s="156"/>
      <c r="BJ191" s="373">
        <v>0</v>
      </c>
      <c r="BK191" s="377"/>
      <c r="BL191" s="373"/>
      <c r="BM191" s="374"/>
      <c r="BN191" s="156"/>
      <c r="BO191" s="373">
        <v>0</v>
      </c>
      <c r="BP191" s="377"/>
      <c r="BQ191" s="373"/>
      <c r="BR191" s="374"/>
      <c r="BS191" s="156"/>
      <c r="BT191" s="373">
        <f t="shared" si="0"/>
        <v>0</v>
      </c>
      <c r="BU191" s="377"/>
      <c r="BV191" s="373"/>
      <c r="BW191" s="9"/>
      <c r="BZ191" s="10"/>
      <c r="CA191" s="10"/>
    </row>
    <row r="192" spans="3:79" ht="12.75" hidden="1" customHeight="1" x14ac:dyDescent="0.2">
      <c r="D192" s="9" t="s">
        <v>386</v>
      </c>
      <c r="F192" s="156"/>
      <c r="G192" s="373">
        <v>0</v>
      </c>
      <c r="H192" s="377"/>
      <c r="I192" s="373"/>
      <c r="J192" s="374"/>
      <c r="K192" s="156"/>
      <c r="L192" s="373">
        <v>0</v>
      </c>
      <c r="M192" s="377"/>
      <c r="N192" s="373"/>
      <c r="O192" s="374"/>
      <c r="P192" s="156"/>
      <c r="Q192" s="373">
        <v>0</v>
      </c>
      <c r="R192" s="377"/>
      <c r="S192" s="373"/>
      <c r="T192" s="374"/>
      <c r="U192" s="156"/>
      <c r="V192" s="373">
        <v>0</v>
      </c>
      <c r="W192" s="377"/>
      <c r="X192" s="373"/>
      <c r="Y192" s="374"/>
      <c r="Z192" s="156"/>
      <c r="AA192" s="373">
        <v>0</v>
      </c>
      <c r="AB192" s="377"/>
      <c r="AC192" s="373"/>
      <c r="AD192" s="374"/>
      <c r="AE192" s="156"/>
      <c r="AF192" s="373">
        <v>0</v>
      </c>
      <c r="AG192" s="377"/>
      <c r="AH192" s="373"/>
      <c r="AI192" s="374"/>
      <c r="AJ192" s="156"/>
      <c r="AK192" s="373">
        <v>0</v>
      </c>
      <c r="AL192" s="377"/>
      <c r="AM192" s="373"/>
      <c r="AN192" s="374"/>
      <c r="AO192" s="156"/>
      <c r="AP192" s="373">
        <v>0</v>
      </c>
      <c r="AQ192" s="377"/>
      <c r="AR192" s="373"/>
      <c r="AS192" s="374"/>
      <c r="AT192" s="156"/>
      <c r="AU192" s="373">
        <v>0</v>
      </c>
      <c r="AV192" s="377"/>
      <c r="AW192" s="373"/>
      <c r="AX192" s="374"/>
      <c r="AY192" s="156"/>
      <c r="AZ192" s="373">
        <v>0</v>
      </c>
      <c r="BA192" s="377"/>
      <c r="BB192" s="373"/>
      <c r="BC192" s="374"/>
      <c r="BD192" s="156"/>
      <c r="BE192" s="373">
        <v>0</v>
      </c>
      <c r="BF192" s="377"/>
      <c r="BG192" s="373"/>
      <c r="BH192" s="374"/>
      <c r="BI192" s="156"/>
      <c r="BJ192" s="373">
        <v>0</v>
      </c>
      <c r="BK192" s="377"/>
      <c r="BL192" s="373"/>
      <c r="BM192" s="374"/>
      <c r="BN192" s="156"/>
      <c r="BO192" s="373">
        <v>0</v>
      </c>
      <c r="BP192" s="377"/>
      <c r="BQ192" s="373"/>
      <c r="BR192" s="374"/>
      <c r="BS192" s="156"/>
      <c r="BT192" s="373">
        <f t="shared" si="0"/>
        <v>0</v>
      </c>
      <c r="BU192" s="377"/>
      <c r="BV192" s="373"/>
      <c r="BW192" s="9"/>
      <c r="BZ192" s="10"/>
      <c r="CA192" s="10"/>
    </row>
    <row r="193" spans="4:79" ht="12.75" hidden="1" customHeight="1" x14ac:dyDescent="0.2">
      <c r="D193" s="9" t="s">
        <v>387</v>
      </c>
      <c r="F193" s="156"/>
      <c r="G193" s="373">
        <v>0</v>
      </c>
      <c r="H193" s="377"/>
      <c r="I193" s="373"/>
      <c r="J193" s="374"/>
      <c r="K193" s="156"/>
      <c r="L193" s="373">
        <v>0</v>
      </c>
      <c r="M193" s="377"/>
      <c r="N193" s="373"/>
      <c r="O193" s="374"/>
      <c r="P193" s="156"/>
      <c r="Q193" s="373">
        <v>0</v>
      </c>
      <c r="R193" s="377"/>
      <c r="S193" s="373"/>
      <c r="T193" s="374"/>
      <c r="U193" s="156"/>
      <c r="V193" s="373">
        <v>0</v>
      </c>
      <c r="W193" s="377"/>
      <c r="X193" s="373"/>
      <c r="Y193" s="374"/>
      <c r="Z193" s="156"/>
      <c r="AA193" s="373">
        <v>0</v>
      </c>
      <c r="AB193" s="377"/>
      <c r="AC193" s="373"/>
      <c r="AD193" s="374"/>
      <c r="AE193" s="156"/>
      <c r="AF193" s="373">
        <v>0</v>
      </c>
      <c r="AG193" s="377"/>
      <c r="AH193" s="373"/>
      <c r="AI193" s="374"/>
      <c r="AJ193" s="156"/>
      <c r="AK193" s="373">
        <v>0</v>
      </c>
      <c r="AL193" s="377"/>
      <c r="AM193" s="373"/>
      <c r="AN193" s="374"/>
      <c r="AO193" s="156"/>
      <c r="AP193" s="373">
        <v>0</v>
      </c>
      <c r="AQ193" s="377"/>
      <c r="AR193" s="373"/>
      <c r="AS193" s="374"/>
      <c r="AT193" s="156"/>
      <c r="AU193" s="373">
        <v>0</v>
      </c>
      <c r="AV193" s="377"/>
      <c r="AW193" s="373"/>
      <c r="AX193" s="374"/>
      <c r="AY193" s="156"/>
      <c r="AZ193" s="373">
        <v>0</v>
      </c>
      <c r="BA193" s="377"/>
      <c r="BB193" s="373"/>
      <c r="BC193" s="374"/>
      <c r="BD193" s="156"/>
      <c r="BE193" s="373">
        <v>0</v>
      </c>
      <c r="BF193" s="377"/>
      <c r="BG193" s="373"/>
      <c r="BH193" s="374"/>
      <c r="BI193" s="156"/>
      <c r="BJ193" s="373">
        <v>0</v>
      </c>
      <c r="BK193" s="377"/>
      <c r="BL193" s="373"/>
      <c r="BM193" s="374"/>
      <c r="BN193" s="156"/>
      <c r="BO193" s="373">
        <v>0</v>
      </c>
      <c r="BP193" s="377"/>
      <c r="BQ193" s="373"/>
      <c r="BR193" s="374"/>
      <c r="BS193" s="156"/>
      <c r="BT193" s="373">
        <f t="shared" si="0"/>
        <v>0</v>
      </c>
      <c r="BU193" s="377"/>
      <c r="BV193" s="373"/>
      <c r="BW193" s="9"/>
      <c r="BZ193" s="10"/>
      <c r="CA193" s="10"/>
    </row>
    <row r="194" spans="4:79" x14ac:dyDescent="0.2">
      <c r="D194" s="9" t="s">
        <v>388</v>
      </c>
      <c r="F194" s="320"/>
      <c r="G194" s="385">
        <v>0</v>
      </c>
      <c r="H194" s="386"/>
      <c r="I194" s="373"/>
      <c r="J194" s="374"/>
      <c r="K194" s="320"/>
      <c r="L194" s="385">
        <v>0</v>
      </c>
      <c r="M194" s="386"/>
      <c r="N194" s="373"/>
      <c r="O194" s="374"/>
      <c r="P194" s="320"/>
      <c r="Q194" s="385">
        <v>0</v>
      </c>
      <c r="R194" s="386"/>
      <c r="S194" s="373"/>
      <c r="T194" s="374"/>
      <c r="U194" s="320"/>
      <c r="V194" s="385">
        <v>0</v>
      </c>
      <c r="W194" s="386"/>
      <c r="X194" s="373"/>
      <c r="Y194" s="374"/>
      <c r="Z194" s="320"/>
      <c r="AA194" s="385">
        <v>0</v>
      </c>
      <c r="AB194" s="386"/>
      <c r="AC194" s="373"/>
      <c r="AD194" s="374"/>
      <c r="AE194" s="320"/>
      <c r="AF194" s="385">
        <v>0</v>
      </c>
      <c r="AG194" s="386"/>
      <c r="AH194" s="373"/>
      <c r="AI194" s="374"/>
      <c r="AJ194" s="320"/>
      <c r="AK194" s="385">
        <v>0</v>
      </c>
      <c r="AL194" s="386"/>
      <c r="AM194" s="373"/>
      <c r="AN194" s="374"/>
      <c r="AO194" s="320"/>
      <c r="AP194" s="385">
        <v>0</v>
      </c>
      <c r="AQ194" s="386"/>
      <c r="AR194" s="373"/>
      <c r="AS194" s="374"/>
      <c r="AT194" s="387"/>
      <c r="AU194" s="385">
        <v>0</v>
      </c>
      <c r="AV194" s="386"/>
      <c r="AW194" s="373"/>
      <c r="AX194" s="374"/>
      <c r="AY194" s="387"/>
      <c r="AZ194" s="385">
        <v>0</v>
      </c>
      <c r="BA194" s="386"/>
      <c r="BB194" s="373"/>
      <c r="BC194" s="374"/>
      <c r="BD194" s="320"/>
      <c r="BE194" s="385">
        <v>0</v>
      </c>
      <c r="BF194" s="386"/>
      <c r="BG194" s="373"/>
      <c r="BH194" s="374"/>
      <c r="BI194" s="387"/>
      <c r="BJ194" s="385">
        <v>0</v>
      </c>
      <c r="BK194" s="386"/>
      <c r="BL194" s="373"/>
      <c r="BM194" s="374"/>
      <c r="BN194" s="387"/>
      <c r="BO194" s="385">
        <v>0</v>
      </c>
      <c r="BP194" s="386"/>
      <c r="BQ194" s="373"/>
      <c r="BR194" s="374"/>
      <c r="BS194" s="320"/>
      <c r="BT194" s="385">
        <f>SUM(L194:BO194)</f>
        <v>0</v>
      </c>
      <c r="BU194" s="386"/>
      <c r="BV194" s="373"/>
      <c r="BW194" s="9"/>
      <c r="BZ194" s="10"/>
      <c r="CA194" s="10"/>
    </row>
    <row r="195" spans="4:79" ht="12.75" hidden="1" customHeight="1" x14ac:dyDescent="0.2">
      <c r="D195" s="9" t="s">
        <v>389</v>
      </c>
      <c r="F195" s="156"/>
      <c r="G195" s="373">
        <v>0</v>
      </c>
      <c r="H195" s="377"/>
      <c r="I195" s="373"/>
      <c r="J195" s="374"/>
      <c r="K195" s="156"/>
      <c r="L195" s="373">
        <v>0</v>
      </c>
      <c r="M195" s="377"/>
      <c r="N195" s="373"/>
      <c r="O195" s="374"/>
      <c r="P195" s="156"/>
      <c r="Q195" s="373">
        <v>0</v>
      </c>
      <c r="R195" s="377"/>
      <c r="S195" s="373"/>
      <c r="T195" s="374"/>
      <c r="U195" s="156"/>
      <c r="V195" s="373">
        <v>0</v>
      </c>
      <c r="W195" s="377"/>
      <c r="X195" s="373"/>
      <c r="Y195" s="374"/>
      <c r="Z195" s="156"/>
      <c r="AA195" s="373">
        <v>0</v>
      </c>
      <c r="AB195" s="377"/>
      <c r="AC195" s="373"/>
      <c r="AD195" s="374"/>
      <c r="AE195" s="156"/>
      <c r="AF195" s="373">
        <v>0</v>
      </c>
      <c r="AG195" s="377"/>
      <c r="AH195" s="373"/>
      <c r="AI195" s="374"/>
      <c r="AJ195" s="156"/>
      <c r="AK195" s="373">
        <v>0</v>
      </c>
      <c r="AL195" s="377"/>
      <c r="AM195" s="373"/>
      <c r="AN195" s="374"/>
      <c r="AO195" s="156"/>
      <c r="AP195" s="373">
        <v>0</v>
      </c>
      <c r="AQ195" s="377"/>
      <c r="AR195" s="373"/>
      <c r="AS195" s="374"/>
      <c r="AT195" s="156"/>
      <c r="AU195" s="373">
        <v>0</v>
      </c>
      <c r="AV195" s="377"/>
      <c r="AW195" s="373"/>
      <c r="AX195" s="374"/>
      <c r="AY195" s="156"/>
      <c r="AZ195" s="373">
        <v>0</v>
      </c>
      <c r="BA195" s="377"/>
      <c r="BB195" s="373"/>
      <c r="BC195" s="374"/>
      <c r="BD195" s="156"/>
      <c r="BE195" s="373">
        <v>0</v>
      </c>
      <c r="BF195" s="377"/>
      <c r="BG195" s="373"/>
      <c r="BH195" s="374"/>
      <c r="BI195" s="156"/>
      <c r="BJ195" s="373">
        <v>0</v>
      </c>
      <c r="BK195" s="377"/>
      <c r="BL195" s="373"/>
      <c r="BM195" s="374"/>
      <c r="BN195" s="156"/>
      <c r="BO195" s="373">
        <v>0</v>
      </c>
      <c r="BP195" s="377"/>
      <c r="BQ195" s="373"/>
      <c r="BR195" s="374"/>
      <c r="BS195" s="374"/>
      <c r="BT195" s="373">
        <f t="shared" si="0"/>
        <v>0</v>
      </c>
      <c r="BU195" s="377"/>
      <c r="BV195" s="373"/>
      <c r="BW195" s="9"/>
      <c r="BZ195" s="10"/>
      <c r="CA195" s="10"/>
    </row>
    <row r="196" spans="4:79" ht="12.75" hidden="1" customHeight="1" x14ac:dyDescent="0.2">
      <c r="D196" s="9" t="s">
        <v>390</v>
      </c>
      <c r="F196" s="320"/>
      <c r="G196" s="385">
        <v>0</v>
      </c>
      <c r="H196" s="386"/>
      <c r="I196" s="373"/>
      <c r="J196" s="374"/>
      <c r="K196" s="320"/>
      <c r="L196" s="385">
        <v>0</v>
      </c>
      <c r="M196" s="386"/>
      <c r="N196" s="373"/>
      <c r="O196" s="374"/>
      <c r="P196" s="320"/>
      <c r="Q196" s="385">
        <v>0</v>
      </c>
      <c r="R196" s="386"/>
      <c r="S196" s="373"/>
      <c r="T196" s="374"/>
      <c r="U196" s="320"/>
      <c r="V196" s="385">
        <v>0</v>
      </c>
      <c r="W196" s="386"/>
      <c r="X196" s="373"/>
      <c r="Y196" s="374"/>
      <c r="Z196" s="320"/>
      <c r="AA196" s="385">
        <v>0</v>
      </c>
      <c r="AB196" s="386"/>
      <c r="AC196" s="373"/>
      <c r="AD196" s="374"/>
      <c r="AE196" s="320"/>
      <c r="AF196" s="385">
        <v>0</v>
      </c>
      <c r="AG196" s="386"/>
      <c r="AH196" s="373"/>
      <c r="AI196" s="374"/>
      <c r="AJ196" s="387"/>
      <c r="AK196" s="385">
        <v>0</v>
      </c>
      <c r="AL196" s="386"/>
      <c r="AM196" s="373"/>
      <c r="AN196" s="374"/>
      <c r="AO196" s="387"/>
      <c r="AP196" s="385">
        <v>0</v>
      </c>
      <c r="AQ196" s="386"/>
      <c r="AR196" s="373"/>
      <c r="AS196" s="374"/>
      <c r="AT196" s="387"/>
      <c r="AU196" s="385">
        <v>0</v>
      </c>
      <c r="AV196" s="386"/>
      <c r="AW196" s="373"/>
      <c r="AX196" s="374"/>
      <c r="AY196" s="387"/>
      <c r="AZ196" s="385">
        <v>0</v>
      </c>
      <c r="BA196" s="386"/>
      <c r="BB196" s="373"/>
      <c r="BC196" s="374"/>
      <c r="BD196" s="387"/>
      <c r="BE196" s="385">
        <v>0</v>
      </c>
      <c r="BF196" s="386"/>
      <c r="BG196" s="373"/>
      <c r="BH196" s="374"/>
      <c r="BI196" s="387"/>
      <c r="BJ196" s="385">
        <v>0</v>
      </c>
      <c r="BK196" s="386"/>
      <c r="BL196" s="373"/>
      <c r="BM196" s="374"/>
      <c r="BN196" s="387"/>
      <c r="BO196" s="385">
        <v>0</v>
      </c>
      <c r="BP196" s="386"/>
      <c r="BQ196" s="373"/>
      <c r="BR196" s="374"/>
      <c r="BS196" s="387"/>
      <c r="BT196" s="385">
        <f t="shared" si="0"/>
        <v>0</v>
      </c>
      <c r="BU196" s="386"/>
      <c r="BV196" s="373"/>
      <c r="BW196" s="9"/>
      <c r="BZ196" s="10"/>
      <c r="CA196" s="10"/>
    </row>
    <row r="197" spans="4:79" hidden="1" x14ac:dyDescent="0.2">
      <c r="D197" s="9"/>
      <c r="G197" s="373"/>
      <c r="H197" s="373"/>
      <c r="I197" s="373"/>
      <c r="J197" s="374"/>
      <c r="K197" s="373"/>
      <c r="L197" s="373"/>
      <c r="M197" s="373"/>
      <c r="N197" s="373"/>
      <c r="O197" s="374"/>
      <c r="P197" s="373"/>
      <c r="Q197" s="373"/>
      <c r="R197" s="373"/>
      <c r="S197" s="373"/>
      <c r="T197" s="374"/>
      <c r="U197" s="373"/>
      <c r="V197" s="373"/>
      <c r="W197" s="373"/>
      <c r="X197" s="373"/>
      <c r="Y197" s="374"/>
      <c r="Z197" s="373"/>
      <c r="AA197" s="373"/>
      <c r="AB197" s="373"/>
      <c r="AC197" s="373"/>
      <c r="AD197" s="374"/>
      <c r="AE197" s="373"/>
      <c r="AF197" s="373"/>
      <c r="AG197" s="373"/>
      <c r="AH197" s="373"/>
      <c r="AI197" s="374"/>
      <c r="AJ197" s="373"/>
      <c r="AK197" s="373"/>
      <c r="AL197" s="373"/>
      <c r="AM197" s="373"/>
      <c r="AN197" s="374"/>
      <c r="AO197" s="373"/>
      <c r="AP197" s="373"/>
      <c r="AQ197" s="373"/>
      <c r="AR197" s="373"/>
      <c r="AS197" s="374"/>
      <c r="AT197" s="373"/>
      <c r="AU197" s="373"/>
      <c r="AV197" s="373"/>
      <c r="AW197" s="373"/>
      <c r="AX197" s="374"/>
      <c r="AY197" s="373"/>
      <c r="AZ197" s="373"/>
      <c r="BA197" s="373"/>
      <c r="BB197" s="373"/>
      <c r="BC197" s="374"/>
      <c r="BD197" s="373"/>
      <c r="BE197" s="373"/>
      <c r="BF197" s="373"/>
      <c r="BG197" s="373"/>
      <c r="BH197" s="374"/>
      <c r="BI197" s="373"/>
      <c r="BJ197" s="373"/>
      <c r="BK197" s="373"/>
      <c r="BL197" s="373"/>
      <c r="BM197" s="374"/>
      <c r="BN197" s="373"/>
      <c r="BO197" s="373"/>
      <c r="BP197" s="373"/>
      <c r="BQ197" s="373"/>
      <c r="BR197" s="374"/>
      <c r="BS197" s="373"/>
      <c r="BT197" s="373"/>
      <c r="BU197" s="373"/>
      <c r="BV197" s="373"/>
      <c r="BW197" s="9"/>
      <c r="BZ197" s="10"/>
      <c r="CA197" s="10"/>
    </row>
    <row r="198" spans="4:79" hidden="1" x14ac:dyDescent="0.2">
      <c r="D198" s="9" t="s">
        <v>391</v>
      </c>
      <c r="G198" s="373">
        <f>SUM(G199:G205)</f>
        <v>0</v>
      </c>
      <c r="H198" s="373"/>
      <c r="I198" s="373"/>
      <c r="J198" s="374"/>
      <c r="L198" s="373">
        <f>SUM(L199:L205)</f>
        <v>0</v>
      </c>
      <c r="M198" s="373"/>
      <c r="N198" s="373"/>
      <c r="O198" s="374"/>
      <c r="Q198" s="373">
        <f>SUM(Q199:Q205)</f>
        <v>0</v>
      </c>
      <c r="R198" s="373"/>
      <c r="S198" s="373"/>
      <c r="T198" s="374"/>
      <c r="V198" s="373">
        <f>SUM(V199:V205)</f>
        <v>0</v>
      </c>
      <c r="W198" s="373"/>
      <c r="X198" s="373"/>
      <c r="Y198" s="374"/>
      <c r="AA198" s="373">
        <f>SUM(AA199:AA205)</f>
        <v>0</v>
      </c>
      <c r="AB198" s="373"/>
      <c r="AC198" s="373"/>
      <c r="AD198" s="374"/>
      <c r="AF198" s="373">
        <f>SUM(AF199:AF205)</f>
        <v>0</v>
      </c>
      <c r="AG198" s="373"/>
      <c r="AH198" s="373"/>
      <c r="AI198" s="374"/>
      <c r="AK198" s="373">
        <f>SUM(AK199:AK205)</f>
        <v>0</v>
      </c>
      <c r="AL198" s="373"/>
      <c r="AM198" s="373"/>
      <c r="AN198" s="374"/>
      <c r="AP198" s="373">
        <f>SUM(AP199:AP205)</f>
        <v>0</v>
      </c>
      <c r="AQ198" s="373"/>
      <c r="AR198" s="373"/>
      <c r="AS198" s="374"/>
      <c r="AU198" s="373">
        <f>SUM(AU199:AU205)</f>
        <v>0</v>
      </c>
      <c r="AV198" s="373"/>
      <c r="AW198" s="373"/>
      <c r="AX198" s="374"/>
      <c r="AZ198" s="373">
        <f>SUM(AZ199:AZ205)</f>
        <v>0</v>
      </c>
      <c r="BA198" s="373"/>
      <c r="BB198" s="373"/>
      <c r="BC198" s="374"/>
      <c r="BE198" s="373">
        <f>SUM(BE199:BE205)</f>
        <v>0</v>
      </c>
      <c r="BF198" s="373"/>
      <c r="BG198" s="373"/>
      <c r="BH198" s="374"/>
      <c r="BJ198" s="373">
        <f>SUM(BJ199:BJ205)</f>
        <v>0</v>
      </c>
      <c r="BK198" s="373"/>
      <c r="BL198" s="373"/>
      <c r="BM198" s="374"/>
      <c r="BO198" s="373">
        <f>SUM(BO199:BO205)</f>
        <v>0</v>
      </c>
      <c r="BP198" s="373"/>
      <c r="BQ198" s="373"/>
      <c r="BR198" s="374"/>
      <c r="BT198" s="373">
        <f>SUM(BT199:BT205)</f>
        <v>0</v>
      </c>
      <c r="BU198" s="373"/>
      <c r="BV198" s="373"/>
      <c r="BW198" s="9"/>
      <c r="BZ198" s="10"/>
      <c r="CA198" s="10"/>
    </row>
    <row r="199" spans="4:79" hidden="1" x14ac:dyDescent="0.2">
      <c r="D199" s="9" t="s">
        <v>392</v>
      </c>
      <c r="F199" s="398"/>
      <c r="G199" s="371">
        <v>0</v>
      </c>
      <c r="H199" s="372"/>
      <c r="I199" s="373"/>
      <c r="J199" s="374"/>
      <c r="K199" s="398"/>
      <c r="L199" s="371">
        <v>0</v>
      </c>
      <c r="M199" s="372"/>
      <c r="N199" s="373"/>
      <c r="O199" s="374"/>
      <c r="P199" s="398"/>
      <c r="Q199" s="371">
        <v>0</v>
      </c>
      <c r="R199" s="372"/>
      <c r="S199" s="373"/>
      <c r="T199" s="374"/>
      <c r="U199" s="398"/>
      <c r="V199" s="371">
        <v>0</v>
      </c>
      <c r="W199" s="372"/>
      <c r="X199" s="373"/>
      <c r="Y199" s="374"/>
      <c r="Z199" s="398"/>
      <c r="AA199" s="371">
        <v>0</v>
      </c>
      <c r="AB199" s="372"/>
      <c r="AC199" s="373"/>
      <c r="AD199" s="374"/>
      <c r="AE199" s="309"/>
      <c r="AF199" s="399">
        <v>0</v>
      </c>
      <c r="AG199" s="372"/>
      <c r="AH199" s="373"/>
      <c r="AI199" s="374"/>
      <c r="AJ199" s="398"/>
      <c r="AK199" s="371">
        <v>0</v>
      </c>
      <c r="AL199" s="372"/>
      <c r="AM199" s="373"/>
      <c r="AN199" s="374"/>
      <c r="AO199" s="398"/>
      <c r="AP199" s="371">
        <v>0</v>
      </c>
      <c r="AQ199" s="372"/>
      <c r="AR199" s="373"/>
      <c r="AS199" s="374"/>
      <c r="AT199" s="398"/>
      <c r="AU199" s="371">
        <v>0</v>
      </c>
      <c r="AV199" s="372"/>
      <c r="AW199" s="373"/>
      <c r="AX199" s="374"/>
      <c r="AY199" s="398"/>
      <c r="AZ199" s="371">
        <v>0</v>
      </c>
      <c r="BA199" s="372"/>
      <c r="BB199" s="373"/>
      <c r="BC199" s="374"/>
      <c r="BD199" s="398"/>
      <c r="BE199" s="371">
        <v>0</v>
      </c>
      <c r="BF199" s="372"/>
      <c r="BG199" s="373"/>
      <c r="BH199" s="374"/>
      <c r="BI199" s="398"/>
      <c r="BJ199" s="371">
        <v>0</v>
      </c>
      <c r="BK199" s="372"/>
      <c r="BL199" s="373"/>
      <c r="BM199" s="374"/>
      <c r="BN199" s="398"/>
      <c r="BO199" s="371">
        <v>0</v>
      </c>
      <c r="BP199" s="372"/>
      <c r="BQ199" s="373"/>
      <c r="BR199" s="374"/>
      <c r="BS199" s="398"/>
      <c r="BT199" s="371">
        <f>SUM(L199:BO199)</f>
        <v>0</v>
      </c>
      <c r="BU199" s="372"/>
      <c r="BV199" s="373"/>
      <c r="BW199" s="9"/>
      <c r="BZ199" s="10"/>
      <c r="CA199" s="10"/>
    </row>
    <row r="200" spans="4:79" hidden="1" x14ac:dyDescent="0.2">
      <c r="D200" s="9" t="s">
        <v>393</v>
      </c>
      <c r="F200" s="366"/>
      <c r="G200" s="373">
        <v>0</v>
      </c>
      <c r="H200" s="377"/>
      <c r="I200" s="373"/>
      <c r="J200" s="374"/>
      <c r="K200" s="366"/>
      <c r="L200" s="373">
        <v>0</v>
      </c>
      <c r="M200" s="377"/>
      <c r="N200" s="373"/>
      <c r="O200" s="374"/>
      <c r="P200" s="366"/>
      <c r="Q200" s="373">
        <v>0</v>
      </c>
      <c r="R200" s="377"/>
      <c r="S200" s="373"/>
      <c r="T200" s="374"/>
      <c r="U200" s="366"/>
      <c r="V200" s="373">
        <v>0</v>
      </c>
      <c r="W200" s="377"/>
      <c r="X200" s="373"/>
      <c r="Y200" s="374"/>
      <c r="Z200" s="366"/>
      <c r="AA200" s="373">
        <v>0</v>
      </c>
      <c r="AB200" s="377"/>
      <c r="AC200" s="373"/>
      <c r="AD200" s="374"/>
      <c r="AE200" s="156"/>
      <c r="AF200" s="105">
        <v>0</v>
      </c>
      <c r="AG200" s="377"/>
      <c r="AH200" s="373"/>
      <c r="AI200" s="374"/>
      <c r="AJ200" s="366"/>
      <c r="AK200" s="373">
        <v>0</v>
      </c>
      <c r="AL200" s="377"/>
      <c r="AM200" s="373"/>
      <c r="AN200" s="374"/>
      <c r="AO200" s="366"/>
      <c r="AP200" s="373">
        <v>0</v>
      </c>
      <c r="AQ200" s="377"/>
      <c r="AR200" s="373"/>
      <c r="AS200" s="374"/>
      <c r="AT200" s="366"/>
      <c r="AU200" s="373">
        <v>0</v>
      </c>
      <c r="AV200" s="377"/>
      <c r="AW200" s="373"/>
      <c r="AX200" s="374"/>
      <c r="AY200" s="366"/>
      <c r="AZ200" s="373">
        <v>0</v>
      </c>
      <c r="BA200" s="377"/>
      <c r="BB200" s="373"/>
      <c r="BC200" s="374"/>
      <c r="BD200" s="366"/>
      <c r="BE200" s="373">
        <v>0</v>
      </c>
      <c r="BF200" s="377"/>
      <c r="BG200" s="373"/>
      <c r="BH200" s="374"/>
      <c r="BI200" s="366"/>
      <c r="BJ200" s="373">
        <v>0</v>
      </c>
      <c r="BK200" s="377"/>
      <c r="BL200" s="373"/>
      <c r="BM200" s="374"/>
      <c r="BN200" s="366"/>
      <c r="BO200" s="373">
        <v>0</v>
      </c>
      <c r="BP200" s="377"/>
      <c r="BQ200" s="373"/>
      <c r="BR200" s="374"/>
      <c r="BS200" s="366"/>
      <c r="BT200" s="373">
        <f t="shared" ref="BT200:BT205" si="1">SUM(L200:BO200)</f>
        <v>0</v>
      </c>
      <c r="BU200" s="377"/>
      <c r="BV200" s="373"/>
      <c r="BW200" s="9"/>
      <c r="BZ200" s="10"/>
      <c r="CA200" s="10"/>
    </row>
    <row r="201" spans="4:79" hidden="1" x14ac:dyDescent="0.2">
      <c r="D201" s="9" t="s">
        <v>394</v>
      </c>
      <c r="F201" s="366"/>
      <c r="G201" s="373">
        <v>0</v>
      </c>
      <c r="H201" s="377"/>
      <c r="I201" s="373"/>
      <c r="J201" s="374"/>
      <c r="K201" s="366"/>
      <c r="L201" s="373">
        <v>0</v>
      </c>
      <c r="M201" s="377"/>
      <c r="N201" s="373"/>
      <c r="O201" s="374"/>
      <c r="P201" s="366"/>
      <c r="Q201" s="373">
        <v>0</v>
      </c>
      <c r="R201" s="377"/>
      <c r="S201" s="373"/>
      <c r="T201" s="374"/>
      <c r="U201" s="366"/>
      <c r="V201" s="373">
        <v>0</v>
      </c>
      <c r="W201" s="377"/>
      <c r="X201" s="373"/>
      <c r="Y201" s="374"/>
      <c r="Z201" s="366"/>
      <c r="AA201" s="373">
        <v>0</v>
      </c>
      <c r="AB201" s="377"/>
      <c r="AC201" s="373"/>
      <c r="AD201" s="374"/>
      <c r="AE201" s="156"/>
      <c r="AF201" s="105">
        <v>0</v>
      </c>
      <c r="AG201" s="377"/>
      <c r="AH201" s="373"/>
      <c r="AI201" s="374"/>
      <c r="AJ201" s="366"/>
      <c r="AK201" s="373">
        <v>0</v>
      </c>
      <c r="AL201" s="377"/>
      <c r="AM201" s="373"/>
      <c r="AN201" s="374"/>
      <c r="AO201" s="366"/>
      <c r="AP201" s="373">
        <v>0</v>
      </c>
      <c r="AQ201" s="377"/>
      <c r="AR201" s="373"/>
      <c r="AS201" s="374"/>
      <c r="AT201" s="366"/>
      <c r="AU201" s="373">
        <v>0</v>
      </c>
      <c r="AV201" s="377"/>
      <c r="AW201" s="373"/>
      <c r="AX201" s="374"/>
      <c r="AY201" s="366"/>
      <c r="AZ201" s="373">
        <v>0</v>
      </c>
      <c r="BA201" s="377"/>
      <c r="BB201" s="373"/>
      <c r="BC201" s="374"/>
      <c r="BD201" s="366"/>
      <c r="BE201" s="373">
        <v>0</v>
      </c>
      <c r="BF201" s="377"/>
      <c r="BG201" s="373"/>
      <c r="BH201" s="374"/>
      <c r="BI201" s="366"/>
      <c r="BJ201" s="373">
        <v>0</v>
      </c>
      <c r="BK201" s="377"/>
      <c r="BL201" s="373"/>
      <c r="BM201" s="374"/>
      <c r="BN201" s="366"/>
      <c r="BO201" s="373">
        <v>0</v>
      </c>
      <c r="BP201" s="377"/>
      <c r="BQ201" s="373"/>
      <c r="BR201" s="374"/>
      <c r="BS201" s="366"/>
      <c r="BT201" s="373">
        <f>SUM(L201:BO201)</f>
        <v>0</v>
      </c>
      <c r="BU201" s="377"/>
      <c r="BV201" s="373"/>
      <c r="BW201" s="9"/>
      <c r="BZ201" s="10"/>
      <c r="CA201" s="10"/>
    </row>
    <row r="202" spans="4:79" hidden="1" x14ac:dyDescent="0.2">
      <c r="D202" s="9" t="s">
        <v>395</v>
      </c>
      <c r="F202" s="400"/>
      <c r="G202" s="385">
        <v>0</v>
      </c>
      <c r="H202" s="386"/>
      <c r="I202" s="373"/>
      <c r="J202" s="374"/>
      <c r="K202" s="400"/>
      <c r="L202" s="385">
        <v>0</v>
      </c>
      <c r="M202" s="386"/>
      <c r="N202" s="373"/>
      <c r="O202" s="374"/>
      <c r="P202" s="400"/>
      <c r="Q202" s="385">
        <v>0</v>
      </c>
      <c r="R202" s="386"/>
      <c r="S202" s="373"/>
      <c r="T202" s="374"/>
      <c r="U202" s="400"/>
      <c r="V202" s="385">
        <v>0</v>
      </c>
      <c r="W202" s="386"/>
      <c r="X202" s="373"/>
      <c r="Y202" s="374"/>
      <c r="Z202" s="400"/>
      <c r="AA202" s="385">
        <v>0</v>
      </c>
      <c r="AB202" s="386"/>
      <c r="AC202" s="373"/>
      <c r="AD202" s="374"/>
      <c r="AE202" s="320"/>
      <c r="AF202" s="401">
        <v>0</v>
      </c>
      <c r="AG202" s="386"/>
      <c r="AH202" s="373"/>
      <c r="AI202" s="374"/>
      <c r="AJ202" s="400"/>
      <c r="AK202" s="385">
        <v>0</v>
      </c>
      <c r="AL202" s="386"/>
      <c r="AM202" s="373"/>
      <c r="AN202" s="374"/>
      <c r="AO202" s="400"/>
      <c r="AP202" s="385">
        <v>0</v>
      </c>
      <c r="AQ202" s="386"/>
      <c r="AR202" s="373"/>
      <c r="AS202" s="374"/>
      <c r="AT202" s="400"/>
      <c r="AU202" s="385">
        <v>0</v>
      </c>
      <c r="AV202" s="386"/>
      <c r="AW202" s="373"/>
      <c r="AX202" s="374"/>
      <c r="AY202" s="400"/>
      <c r="AZ202" s="385">
        <v>0</v>
      </c>
      <c r="BA202" s="386"/>
      <c r="BB202" s="373"/>
      <c r="BC202" s="374"/>
      <c r="BD202" s="400"/>
      <c r="BE202" s="385">
        <v>0</v>
      </c>
      <c r="BF202" s="386"/>
      <c r="BG202" s="373"/>
      <c r="BH202" s="374"/>
      <c r="BI202" s="400"/>
      <c r="BJ202" s="385">
        <v>0</v>
      </c>
      <c r="BK202" s="386"/>
      <c r="BL202" s="373"/>
      <c r="BM202" s="374"/>
      <c r="BN202" s="400"/>
      <c r="BO202" s="385">
        <v>0</v>
      </c>
      <c r="BP202" s="386"/>
      <c r="BQ202" s="373"/>
      <c r="BR202" s="374"/>
      <c r="BS202" s="400"/>
      <c r="BT202" s="385">
        <f t="shared" si="1"/>
        <v>0</v>
      </c>
      <c r="BU202" s="386"/>
      <c r="BV202" s="373"/>
      <c r="BW202" s="9"/>
      <c r="BZ202" s="10"/>
      <c r="CA202" s="10"/>
    </row>
    <row r="203" spans="4:79" ht="12.75" hidden="1" customHeight="1" x14ac:dyDescent="0.2">
      <c r="D203" s="9" t="s">
        <v>396</v>
      </c>
      <c r="F203" s="156"/>
      <c r="G203" s="373">
        <v>0</v>
      </c>
      <c r="H203" s="377"/>
      <c r="I203" s="373"/>
      <c r="J203" s="374"/>
      <c r="K203" s="156"/>
      <c r="L203" s="373"/>
      <c r="M203" s="377"/>
      <c r="N203" s="373"/>
      <c r="O203" s="374"/>
      <c r="P203" s="156"/>
      <c r="Q203" s="373"/>
      <c r="R203" s="377"/>
      <c r="S203" s="373"/>
      <c r="T203" s="374"/>
      <c r="U203" s="156"/>
      <c r="V203" s="373"/>
      <c r="W203" s="377"/>
      <c r="X203" s="373"/>
      <c r="Y203" s="374"/>
      <c r="Z203" s="156"/>
      <c r="AA203" s="373"/>
      <c r="AB203" s="377"/>
      <c r="AC203" s="373"/>
      <c r="AD203" s="374"/>
      <c r="AE203" s="156"/>
      <c r="AF203" s="373"/>
      <c r="AG203" s="377"/>
      <c r="AH203" s="373"/>
      <c r="AI203" s="374"/>
      <c r="AJ203" s="156"/>
      <c r="AK203" s="373"/>
      <c r="AL203" s="377"/>
      <c r="AM203" s="373"/>
      <c r="AN203" s="374"/>
      <c r="AO203" s="156"/>
      <c r="AP203" s="373"/>
      <c r="AQ203" s="377"/>
      <c r="AR203" s="373"/>
      <c r="AS203" s="374"/>
      <c r="AT203" s="156"/>
      <c r="AU203" s="373"/>
      <c r="AV203" s="377"/>
      <c r="AW203" s="373"/>
      <c r="AX203" s="374"/>
      <c r="AY203" s="156"/>
      <c r="AZ203" s="373"/>
      <c r="BA203" s="377"/>
      <c r="BB203" s="373"/>
      <c r="BC203" s="374"/>
      <c r="BD203" s="156"/>
      <c r="BE203" s="373"/>
      <c r="BF203" s="377"/>
      <c r="BG203" s="373"/>
      <c r="BH203" s="374"/>
      <c r="BI203" s="156"/>
      <c r="BJ203" s="373">
        <v>0</v>
      </c>
      <c r="BK203" s="377"/>
      <c r="BL203" s="373"/>
      <c r="BM203" s="374"/>
      <c r="BN203" s="156"/>
      <c r="BO203" s="373">
        <v>0</v>
      </c>
      <c r="BP203" s="377"/>
      <c r="BQ203" s="373"/>
      <c r="BR203" s="374"/>
      <c r="BS203" s="156"/>
      <c r="BT203" s="373">
        <f t="shared" si="1"/>
        <v>0</v>
      </c>
      <c r="BU203" s="377"/>
      <c r="BV203" s="373"/>
      <c r="BW203" s="9"/>
      <c r="BZ203" s="10"/>
      <c r="CA203" s="10"/>
    </row>
    <row r="204" spans="4:79" ht="12.75" hidden="1" customHeight="1" x14ac:dyDescent="0.2">
      <c r="D204" s="9" t="s">
        <v>397</v>
      </c>
      <c r="F204" s="156"/>
      <c r="G204" s="373">
        <v>0</v>
      </c>
      <c r="H204" s="377"/>
      <c r="I204" s="373"/>
      <c r="J204" s="374"/>
      <c r="K204" s="156"/>
      <c r="L204" s="373"/>
      <c r="M204" s="377"/>
      <c r="N204" s="373"/>
      <c r="O204" s="374"/>
      <c r="P204" s="156"/>
      <c r="Q204" s="373"/>
      <c r="R204" s="377"/>
      <c r="S204" s="373"/>
      <c r="T204" s="374"/>
      <c r="U204" s="156"/>
      <c r="V204" s="373"/>
      <c r="W204" s="377"/>
      <c r="X204" s="373"/>
      <c r="Y204" s="374"/>
      <c r="Z204" s="156"/>
      <c r="AA204" s="373"/>
      <c r="AB204" s="377"/>
      <c r="AC204" s="373"/>
      <c r="AD204" s="374"/>
      <c r="AE204" s="156"/>
      <c r="AF204" s="373"/>
      <c r="AG204" s="377"/>
      <c r="AH204" s="373"/>
      <c r="AI204" s="374"/>
      <c r="AJ204" s="156"/>
      <c r="AK204" s="373"/>
      <c r="AL204" s="377"/>
      <c r="AM204" s="373"/>
      <c r="AN204" s="374"/>
      <c r="AO204" s="156"/>
      <c r="AP204" s="373"/>
      <c r="AQ204" s="377"/>
      <c r="AR204" s="373"/>
      <c r="AS204" s="374"/>
      <c r="AT204" s="156"/>
      <c r="AU204" s="373"/>
      <c r="AV204" s="377"/>
      <c r="AW204" s="373"/>
      <c r="AX204" s="374"/>
      <c r="AY204" s="156"/>
      <c r="AZ204" s="373"/>
      <c r="BA204" s="377"/>
      <c r="BB204" s="373"/>
      <c r="BC204" s="374"/>
      <c r="BD204" s="156"/>
      <c r="BE204" s="373"/>
      <c r="BF204" s="377"/>
      <c r="BG204" s="373"/>
      <c r="BH204" s="374"/>
      <c r="BI204" s="156"/>
      <c r="BJ204" s="373">
        <v>0</v>
      </c>
      <c r="BK204" s="377"/>
      <c r="BL204" s="373"/>
      <c r="BM204" s="374"/>
      <c r="BN204" s="156"/>
      <c r="BO204" s="373">
        <v>0</v>
      </c>
      <c r="BP204" s="377"/>
      <c r="BQ204" s="373"/>
      <c r="BR204" s="374"/>
      <c r="BS204" s="156"/>
      <c r="BT204" s="373">
        <f t="shared" si="1"/>
        <v>0</v>
      </c>
      <c r="BU204" s="377"/>
      <c r="BV204" s="373"/>
      <c r="BW204" s="9"/>
      <c r="BZ204" s="10"/>
      <c r="CA204" s="10"/>
    </row>
    <row r="205" spans="4:79" ht="12.75" hidden="1" customHeight="1" x14ac:dyDescent="0.2">
      <c r="D205" s="9" t="s">
        <v>398</v>
      </c>
      <c r="F205" s="320"/>
      <c r="G205" s="385">
        <v>0</v>
      </c>
      <c r="H205" s="386"/>
      <c r="I205" s="373"/>
      <c r="J205" s="374"/>
      <c r="K205" s="320"/>
      <c r="L205" s="385">
        <v>0</v>
      </c>
      <c r="M205" s="386"/>
      <c r="N205" s="373"/>
      <c r="O205" s="374"/>
      <c r="P205" s="320"/>
      <c r="Q205" s="385">
        <v>0</v>
      </c>
      <c r="R205" s="386"/>
      <c r="S205" s="373"/>
      <c r="T205" s="374"/>
      <c r="U205" s="320"/>
      <c r="V205" s="385">
        <v>0</v>
      </c>
      <c r="W205" s="386"/>
      <c r="X205" s="373"/>
      <c r="Y205" s="374"/>
      <c r="Z205" s="320"/>
      <c r="AA205" s="385">
        <v>0</v>
      </c>
      <c r="AB205" s="386"/>
      <c r="AC205" s="373"/>
      <c r="AD205" s="374"/>
      <c r="AE205" s="320"/>
      <c r="AF205" s="385">
        <v>0</v>
      </c>
      <c r="AG205" s="386"/>
      <c r="AH205" s="373"/>
      <c r="AI205" s="374"/>
      <c r="AJ205" s="320"/>
      <c r="AK205" s="385">
        <v>0</v>
      </c>
      <c r="AL205" s="386"/>
      <c r="AM205" s="373"/>
      <c r="AN205" s="374"/>
      <c r="AO205" s="320"/>
      <c r="AP205" s="385">
        <v>0</v>
      </c>
      <c r="AQ205" s="386"/>
      <c r="AR205" s="373"/>
      <c r="AS205" s="374"/>
      <c r="AT205" s="320"/>
      <c r="AU205" s="385">
        <v>0</v>
      </c>
      <c r="AV205" s="386"/>
      <c r="AW205" s="373"/>
      <c r="AX205" s="374"/>
      <c r="AY205" s="320"/>
      <c r="AZ205" s="385">
        <v>0</v>
      </c>
      <c r="BA205" s="386"/>
      <c r="BB205" s="373"/>
      <c r="BC205" s="374"/>
      <c r="BD205" s="320"/>
      <c r="BE205" s="385">
        <v>0</v>
      </c>
      <c r="BF205" s="386"/>
      <c r="BG205" s="373"/>
      <c r="BH205" s="374"/>
      <c r="BI205" s="320"/>
      <c r="BJ205" s="385">
        <v>0</v>
      </c>
      <c r="BK205" s="386"/>
      <c r="BL205" s="373"/>
      <c r="BM205" s="374"/>
      <c r="BN205" s="320"/>
      <c r="BO205" s="385">
        <v>0</v>
      </c>
      <c r="BP205" s="386"/>
      <c r="BQ205" s="373"/>
      <c r="BR205" s="374"/>
      <c r="BS205" s="320"/>
      <c r="BT205" s="385">
        <f t="shared" si="1"/>
        <v>0</v>
      </c>
      <c r="BU205" s="386"/>
      <c r="BV205" s="373"/>
      <c r="BW205" s="9"/>
      <c r="BZ205" s="10"/>
      <c r="CA205" s="10"/>
    </row>
    <row r="206" spans="4:79" x14ac:dyDescent="0.2">
      <c r="D206" s="9"/>
      <c r="E206" s="397"/>
      <c r="F206" s="149"/>
      <c r="G206" s="373"/>
      <c r="H206" s="373"/>
      <c r="I206" s="373"/>
      <c r="J206" s="374"/>
      <c r="K206" s="149"/>
      <c r="L206" s="373"/>
      <c r="M206" s="373"/>
      <c r="N206" s="373"/>
      <c r="O206" s="374"/>
      <c r="P206" s="149"/>
      <c r="Q206" s="373"/>
      <c r="R206" s="373"/>
      <c r="S206" s="373"/>
      <c r="T206" s="374"/>
      <c r="U206" s="149"/>
      <c r="V206" s="373"/>
      <c r="W206" s="373"/>
      <c r="X206" s="373"/>
      <c r="Y206" s="374"/>
      <c r="Z206" s="149"/>
      <c r="AA206" s="373"/>
      <c r="AB206" s="373"/>
      <c r="AC206" s="373"/>
      <c r="AD206" s="374"/>
      <c r="AE206" s="149"/>
      <c r="AF206" s="373"/>
      <c r="AG206" s="373"/>
      <c r="AH206" s="373"/>
      <c r="AI206" s="374"/>
      <c r="AJ206" s="149"/>
      <c r="AK206" s="373"/>
      <c r="AL206" s="373"/>
      <c r="AM206" s="373"/>
      <c r="AN206" s="374"/>
      <c r="AO206" s="149"/>
      <c r="AP206" s="373"/>
      <c r="AQ206" s="373"/>
      <c r="AR206" s="373"/>
      <c r="AS206" s="374"/>
      <c r="AT206" s="149"/>
      <c r="AU206" s="373"/>
      <c r="AV206" s="373"/>
      <c r="AW206" s="373"/>
      <c r="AX206" s="374"/>
      <c r="AY206" s="149"/>
      <c r="AZ206" s="373"/>
      <c r="BA206" s="373"/>
      <c r="BB206" s="373"/>
      <c r="BC206" s="374"/>
      <c r="BD206" s="149"/>
      <c r="BE206" s="373"/>
      <c r="BF206" s="373"/>
      <c r="BG206" s="373"/>
      <c r="BH206" s="374"/>
      <c r="BI206" s="149"/>
      <c r="BJ206" s="373"/>
      <c r="BK206" s="373"/>
      <c r="BL206" s="373"/>
      <c r="BM206" s="374"/>
      <c r="BN206" s="149"/>
      <c r="BO206" s="373"/>
      <c r="BP206" s="373"/>
      <c r="BQ206" s="373"/>
      <c r="BR206" s="374"/>
      <c r="BS206" s="149"/>
      <c r="BT206" s="373"/>
      <c r="BU206" s="373"/>
      <c r="BV206" s="373"/>
      <c r="BW206" s="9"/>
      <c r="BZ206" s="10"/>
      <c r="CA206" s="10"/>
    </row>
    <row r="207" spans="4:79" x14ac:dyDescent="0.2">
      <c r="D207" s="142" t="s">
        <v>335</v>
      </c>
      <c r="E207" s="397"/>
      <c r="F207" s="149"/>
      <c r="G207" s="368">
        <f>SUM(G208:G211)</f>
        <v>0</v>
      </c>
      <c r="H207" s="373"/>
      <c r="I207" s="373"/>
      <c r="J207" s="374"/>
      <c r="K207" s="149"/>
      <c r="L207" s="368">
        <f>SUM(L208:L211)</f>
        <v>0</v>
      </c>
      <c r="M207" s="373"/>
      <c r="N207" s="373"/>
      <c r="O207" s="374"/>
      <c r="P207" s="149"/>
      <c r="Q207" s="368">
        <f>SUM(Q208:Q211)</f>
        <v>0</v>
      </c>
      <c r="R207" s="373"/>
      <c r="S207" s="373"/>
      <c r="T207" s="374"/>
      <c r="U207" s="149"/>
      <c r="V207" s="368">
        <f>SUM(V208:V211)</f>
        <v>0</v>
      </c>
      <c r="W207" s="373"/>
      <c r="X207" s="373"/>
      <c r="Y207" s="374"/>
      <c r="Z207" s="149"/>
      <c r="AA207" s="368">
        <f>SUM(AA208:AA211)</f>
        <v>0</v>
      </c>
      <c r="AB207" s="373"/>
      <c r="AC207" s="373"/>
      <c r="AD207" s="374"/>
      <c r="AE207" s="149"/>
      <c r="AF207" s="368">
        <f>SUM(AF208:AF211)</f>
        <v>0</v>
      </c>
      <c r="AG207" s="373"/>
      <c r="AH207" s="373"/>
      <c r="AI207" s="374"/>
      <c r="AJ207" s="149"/>
      <c r="AK207" s="368">
        <f>SUM(AK208:AK211)</f>
        <v>0</v>
      </c>
      <c r="AL207" s="373"/>
      <c r="AM207" s="377"/>
      <c r="AN207" s="374"/>
      <c r="AO207" s="149"/>
      <c r="AP207" s="368">
        <f>SUM(AP208:AP211)</f>
        <v>0</v>
      </c>
      <c r="AQ207" s="373"/>
      <c r="AR207" s="373"/>
      <c r="AS207" s="374"/>
      <c r="AT207" s="149"/>
      <c r="AU207" s="368">
        <f>SUM(AU208:AU211)</f>
        <v>0</v>
      </c>
      <c r="AV207" s="373"/>
      <c r="AW207" s="373"/>
      <c r="AX207" s="374"/>
      <c r="AY207" s="149"/>
      <c r="AZ207" s="368">
        <f>SUM(AZ208:AZ211)</f>
        <v>0</v>
      </c>
      <c r="BA207" s="373"/>
      <c r="BB207" s="373"/>
      <c r="BC207" s="374"/>
      <c r="BD207" s="149"/>
      <c r="BE207" s="368">
        <f>SUM(BE208:BE211)</f>
        <v>0</v>
      </c>
      <c r="BF207" s="373"/>
      <c r="BG207" s="373"/>
      <c r="BH207" s="374"/>
      <c r="BI207" s="149"/>
      <c r="BJ207" s="368">
        <f>SUM(BJ208:BJ211)</f>
        <v>0</v>
      </c>
      <c r="BK207" s="373"/>
      <c r="BL207" s="373"/>
      <c r="BM207" s="374"/>
      <c r="BN207" s="149"/>
      <c r="BO207" s="368">
        <f>SUM(BO208:BO211)</f>
        <v>0</v>
      </c>
      <c r="BP207" s="373"/>
      <c r="BQ207" s="373"/>
      <c r="BR207" s="374"/>
      <c r="BS207" s="149"/>
      <c r="BT207" s="368">
        <f>SUM(BT208:BT211)</f>
        <v>0</v>
      </c>
      <c r="BU207" s="373"/>
      <c r="BV207" s="373"/>
      <c r="BW207" s="9"/>
      <c r="BZ207" s="10"/>
      <c r="CA207" s="10"/>
    </row>
    <row r="208" spans="4:79" x14ac:dyDescent="0.2">
      <c r="D208" s="9" t="s">
        <v>343</v>
      </c>
      <c r="E208" s="397"/>
      <c r="F208" s="398"/>
      <c r="G208" s="371">
        <f>G224+G251+G257+G219+G245+G230+G268+G214+G240+G235+G273+G263</f>
        <v>0</v>
      </c>
      <c r="H208" s="372"/>
      <c r="I208" s="373"/>
      <c r="J208" s="374"/>
      <c r="K208" s="398"/>
      <c r="L208" s="371">
        <f>L224+L251+L257+L219+L245+L230+L268+L214+L240+L235+L273+L263</f>
        <v>0</v>
      </c>
      <c r="M208" s="372"/>
      <c r="N208" s="373"/>
      <c r="O208" s="374"/>
      <c r="P208" s="398"/>
      <c r="Q208" s="371">
        <f>Q224+Q251+Q257+Q219+Q245+Q230+Q268+Q214+Q240+Q235+Q273+Q263</f>
        <v>0</v>
      </c>
      <c r="R208" s="372"/>
      <c r="S208" s="373"/>
      <c r="T208" s="374"/>
      <c r="U208" s="398"/>
      <c r="V208" s="371">
        <f>V224+V251+V257+V219+V245+V230+V268+V214+V240+V235+V273+V263</f>
        <v>0</v>
      </c>
      <c r="W208" s="372"/>
      <c r="X208" s="373"/>
      <c r="Y208" s="374"/>
      <c r="Z208" s="398"/>
      <c r="AA208" s="371">
        <f>AA224+AA251+AA257+AA219+AA245+AA230+AA268+AA214+AA240+AA235+AA273+AA263</f>
        <v>0</v>
      </c>
      <c r="AB208" s="372"/>
      <c r="AC208" s="373"/>
      <c r="AD208" s="374"/>
      <c r="AE208" s="398"/>
      <c r="AF208" s="371">
        <f>AF224+AF251+AF257+AF219+AF245+AF230+AF268+AF214+AF240+AF235+AF273+AF263</f>
        <v>0</v>
      </c>
      <c r="AG208" s="372"/>
      <c r="AH208" s="373"/>
      <c r="AI208" s="374"/>
      <c r="AJ208" s="398"/>
      <c r="AK208" s="371">
        <f>AK224+AK251+AK257+AK219+AK245+AK230+AK268+AK214+AK240+AK235+AK273+AK263</f>
        <v>0</v>
      </c>
      <c r="AL208" s="372"/>
      <c r="AM208" s="377"/>
      <c r="AN208" s="374"/>
      <c r="AO208" s="398"/>
      <c r="AP208" s="371">
        <f>AP224+AP251+AP257+AP219+AP245+AP230+AP268+AP214+AP240+AP235+AP273+AP263</f>
        <v>0</v>
      </c>
      <c r="AQ208" s="372"/>
      <c r="AR208" s="373"/>
      <c r="AS208" s="374"/>
      <c r="AT208" s="398"/>
      <c r="AU208" s="371">
        <f>AU224+AU251+AU257+AU219+AU245+AU230+AU268+AU214+AU240+AU235+AU273+AU263</f>
        <v>0</v>
      </c>
      <c r="AV208" s="372"/>
      <c r="AW208" s="373"/>
      <c r="AX208" s="374"/>
      <c r="AY208" s="398"/>
      <c r="AZ208" s="371">
        <f>AZ224+AZ251+AZ257+AZ219+AZ245+AZ230+AZ268+AZ214+AZ240+AZ235+AZ273+AZ263</f>
        <v>0</v>
      </c>
      <c r="BA208" s="372"/>
      <c r="BB208" s="373"/>
      <c r="BC208" s="374"/>
      <c r="BD208" s="398"/>
      <c r="BE208" s="371">
        <f>BE224+BE251+BE257+BE219+BE245+BE230+BE268+BE214+BE240+BE235+BE273+BE263</f>
        <v>0</v>
      </c>
      <c r="BF208" s="372"/>
      <c r="BG208" s="373"/>
      <c r="BH208" s="374"/>
      <c r="BI208" s="398"/>
      <c r="BJ208" s="371">
        <f>BJ224+BJ251+BJ257+BJ219+BJ245+BJ230+BJ268+BJ214+BJ240+BJ235+BJ273+BJ263</f>
        <v>0</v>
      </c>
      <c r="BK208" s="372"/>
      <c r="BL208" s="373"/>
      <c r="BM208" s="374"/>
      <c r="BN208" s="398"/>
      <c r="BO208" s="371">
        <f>BO224+BO251+BO257+BO219+BO245+BO230+BO268+BO214+BO240+BO235+BO273+BO263</f>
        <v>0</v>
      </c>
      <c r="BP208" s="372"/>
      <c r="BQ208" s="373"/>
      <c r="BR208" s="374"/>
      <c r="BS208" s="398"/>
      <c r="BT208" s="371">
        <f>BT224+BT251+BT257+BT219+BT245+BT230+BT268+BT214+BT240+BT235+BT273+BT263</f>
        <v>0</v>
      </c>
      <c r="BU208" s="372"/>
      <c r="BV208" s="373"/>
      <c r="BW208" s="9"/>
      <c r="BZ208" s="10"/>
      <c r="CA208" s="10"/>
    </row>
    <row r="209" spans="4:79" x14ac:dyDescent="0.2">
      <c r="D209" s="9" t="s">
        <v>345</v>
      </c>
      <c r="E209" s="397"/>
      <c r="F209" s="366"/>
      <c r="G209" s="373">
        <f>G225+G252+G258+G220+G246+G231+G269+G215+G241+G236+G274+G264</f>
        <v>0</v>
      </c>
      <c r="H209" s="377"/>
      <c r="I209" s="373"/>
      <c r="J209" s="374"/>
      <c r="K209" s="366"/>
      <c r="L209" s="373">
        <f>L225+L252+L258+L220+L246+L231+L269+L215+L241+L236+L274+L264</f>
        <v>0</v>
      </c>
      <c r="M209" s="377"/>
      <c r="N209" s="373"/>
      <c r="O209" s="374"/>
      <c r="P209" s="366"/>
      <c r="Q209" s="373">
        <f>Q225+Q252+Q258+Q220+Q246+Q231+Q269+Q215+Q241+Q236+Q274+Q264</f>
        <v>0</v>
      </c>
      <c r="R209" s="377"/>
      <c r="S209" s="373"/>
      <c r="T209" s="374"/>
      <c r="U209" s="366"/>
      <c r="V209" s="373">
        <f>V225+V252+V258+V220+V246+V231+V269+V215+V241+V236+V274+V264</f>
        <v>0</v>
      </c>
      <c r="W209" s="377"/>
      <c r="X209" s="373"/>
      <c r="Y209" s="374"/>
      <c r="Z209" s="366"/>
      <c r="AA209" s="373">
        <f>AA225+AA252+AA258+AA220+AA246+AA231+AA269+AA215+AA241+AA236+AA274+AA264</f>
        <v>0</v>
      </c>
      <c r="AB209" s="377"/>
      <c r="AC209" s="373"/>
      <c r="AD209" s="374"/>
      <c r="AE209" s="366"/>
      <c r="AF209" s="373">
        <f>AF225+AF252+AF258+AF220+AF246+AF231+AF269+AF215+AF241+AF236+AF274+AF264</f>
        <v>0</v>
      </c>
      <c r="AG209" s="377"/>
      <c r="AH209" s="373"/>
      <c r="AI209" s="374"/>
      <c r="AJ209" s="366"/>
      <c r="AK209" s="373">
        <f>AK225+AK252+AK258+AK220+AK246+AK231+AK269+AK215+AK241+AK236+AK274+AK264</f>
        <v>0</v>
      </c>
      <c r="AL209" s="377"/>
      <c r="AM209" s="373"/>
      <c r="AN209" s="374"/>
      <c r="AO209" s="366"/>
      <c r="AP209" s="373">
        <f>AP225+AP252+AP258+AP220+AP246+AP231+AP269+AP215+AP241+AP236+AP274+AP264</f>
        <v>0</v>
      </c>
      <c r="AQ209" s="377"/>
      <c r="AR209" s="373"/>
      <c r="AS209" s="374"/>
      <c r="AT209" s="366"/>
      <c r="AU209" s="373">
        <f>AU225+AU252+AU258+AU220+AU246+AU231+AU269+AU215+AU241+AU236+AU274+AU264</f>
        <v>0</v>
      </c>
      <c r="AV209" s="377"/>
      <c r="AW209" s="373"/>
      <c r="AX209" s="374"/>
      <c r="AY209" s="366"/>
      <c r="AZ209" s="373">
        <f>AZ225+AZ252+AZ258+AZ220+AZ246+AZ231+AZ269+AZ215+AZ241+AZ236+AZ274+AZ264</f>
        <v>0</v>
      </c>
      <c r="BA209" s="377"/>
      <c r="BB209" s="373"/>
      <c r="BC209" s="374"/>
      <c r="BD209" s="366"/>
      <c r="BE209" s="373">
        <f>BE225+BE252+BE258+BE220+BE246+BE231+BE269+BE215+BE241+BE236+BE274+BE264</f>
        <v>0</v>
      </c>
      <c r="BF209" s="377"/>
      <c r="BG209" s="373"/>
      <c r="BH209" s="374"/>
      <c r="BI209" s="366"/>
      <c r="BJ209" s="373">
        <f>BJ225+BJ252+BJ258+BJ220+BJ246+BJ231+BJ269+BJ215+BJ241+BJ236+BJ274+BJ264</f>
        <v>0</v>
      </c>
      <c r="BK209" s="377"/>
      <c r="BL209" s="373"/>
      <c r="BM209" s="374"/>
      <c r="BN209" s="366"/>
      <c r="BO209" s="373">
        <f>BO225+BO252+BO258+BO220+BO246+BO231+BO269+BO215+BO241+BO236+BO274+BO264</f>
        <v>0</v>
      </c>
      <c r="BP209" s="377"/>
      <c r="BQ209" s="373"/>
      <c r="BR209" s="374"/>
      <c r="BS209" s="366"/>
      <c r="BT209" s="373">
        <f>BT225+BT252+BT258+BT220+BT246+BT231+BT269+BT215+BT241+BT236+BT274+BT264</f>
        <v>0</v>
      </c>
      <c r="BU209" s="377"/>
      <c r="BV209" s="373"/>
      <c r="BW209" s="9"/>
      <c r="BZ209" s="10"/>
      <c r="CA209" s="10"/>
    </row>
    <row r="210" spans="4:79" x14ac:dyDescent="0.2">
      <c r="D210" s="9" t="s">
        <v>353</v>
      </c>
      <c r="E210" s="397"/>
      <c r="F210" s="366"/>
      <c r="G210" s="373">
        <f>G226+G253+G259+G221+G247+G232+G270+G216+G242+G237+G275+G265</f>
        <v>0</v>
      </c>
      <c r="H210" s="377"/>
      <c r="I210" s="373"/>
      <c r="J210" s="374"/>
      <c r="K210" s="366"/>
      <c r="L210" s="373">
        <f>L226+L253+L259+L221+L247+L232+L270+L216+L242+L237+L275+L265</f>
        <v>0</v>
      </c>
      <c r="M210" s="377"/>
      <c r="N210" s="373"/>
      <c r="O210" s="374"/>
      <c r="P210" s="366"/>
      <c r="Q210" s="373">
        <f>Q226+Q253+Q259+Q221+Q247+Q232+Q270+Q216+Q242+Q237+Q275+Q265</f>
        <v>0</v>
      </c>
      <c r="R210" s="377"/>
      <c r="S210" s="373"/>
      <c r="T210" s="374"/>
      <c r="U210" s="366"/>
      <c r="V210" s="373">
        <f>V226+V253+V259+V221+V247+V232+V270+V216+V242+V237+V275+V265</f>
        <v>0</v>
      </c>
      <c r="W210" s="377"/>
      <c r="X210" s="373"/>
      <c r="Y210" s="374"/>
      <c r="Z210" s="366"/>
      <c r="AA210" s="373">
        <f>AA226+AA253+AA259+AA221+AA247+AA232+AA270+AA216+AA242+AA237+AA275+AA265</f>
        <v>0</v>
      </c>
      <c r="AB210" s="377"/>
      <c r="AC210" s="373"/>
      <c r="AD210" s="374"/>
      <c r="AE210" s="366"/>
      <c r="AF210" s="373">
        <f>AF226+AF253+AF259+AF221+AF247+AF232+AF270+AF216+AF242+AF237+AF275+AF265</f>
        <v>0</v>
      </c>
      <c r="AG210" s="377"/>
      <c r="AH210" s="373"/>
      <c r="AI210" s="374"/>
      <c r="AJ210" s="366"/>
      <c r="AK210" s="373">
        <f>AK226+AK253+AK259+AK221+AK247+AK232+AK270+AK216+AK242+AK237+AK275+AK265</f>
        <v>0</v>
      </c>
      <c r="AL210" s="377"/>
      <c r="AM210" s="373"/>
      <c r="AN210" s="374"/>
      <c r="AO210" s="366"/>
      <c r="AP210" s="373">
        <f>AP226+AP253+AP259+AP221+AP247+AP232+AP270+AP216+AP242+AP237+AP275+AP265</f>
        <v>0</v>
      </c>
      <c r="AQ210" s="377"/>
      <c r="AR210" s="373"/>
      <c r="AS210" s="374"/>
      <c r="AT210" s="366"/>
      <c r="AU210" s="373">
        <f>AU226+AU253+AU259+AU221+AU247+AU232+AU270+AU216+AU242+AU237+AU275+AU265</f>
        <v>0</v>
      </c>
      <c r="AV210" s="377"/>
      <c r="AW210" s="373"/>
      <c r="AX210" s="374"/>
      <c r="AY210" s="366"/>
      <c r="AZ210" s="373">
        <f>AZ226+AZ253+AZ259+AZ221+AZ247+AZ232+AZ270+AZ216+AZ242+AZ237+AZ275+AZ265</f>
        <v>0</v>
      </c>
      <c r="BA210" s="377"/>
      <c r="BB210" s="373"/>
      <c r="BC210" s="374"/>
      <c r="BD210" s="366"/>
      <c r="BE210" s="373">
        <f>BE226+BE253+BE259+BE221+BE247+BE232+BE270+BE216+BE242+BE237+BE275+BE265</f>
        <v>0</v>
      </c>
      <c r="BF210" s="377"/>
      <c r="BG210" s="373"/>
      <c r="BH210" s="374"/>
      <c r="BI210" s="366"/>
      <c r="BJ210" s="373">
        <f>BJ226+BJ253+BJ259+BJ221+BJ247+BJ232+BJ270+BJ216+BJ242+BJ237+BJ275+BJ265</f>
        <v>0</v>
      </c>
      <c r="BK210" s="377"/>
      <c r="BL210" s="373"/>
      <c r="BM210" s="374"/>
      <c r="BN210" s="366"/>
      <c r="BO210" s="373">
        <f>BO226+BO253+BO259+BO221+BO247+BO232+BO270+BO216+BO242+BO237+BO275+BO265</f>
        <v>0</v>
      </c>
      <c r="BP210" s="377"/>
      <c r="BQ210" s="373"/>
      <c r="BR210" s="374"/>
      <c r="BS210" s="366"/>
      <c r="BT210" s="373">
        <f>BT226+BT253+BT259+BT221+BT247+BT232+BT270+BT216+BT242+BT237+BT275+BT265</f>
        <v>0</v>
      </c>
      <c r="BU210" s="377"/>
      <c r="BV210" s="373"/>
      <c r="BW210" s="9"/>
      <c r="BZ210" s="10"/>
      <c r="CA210" s="10"/>
    </row>
    <row r="211" spans="4:79" x14ac:dyDescent="0.2">
      <c r="D211" s="9" t="s">
        <v>347</v>
      </c>
      <c r="E211" s="397"/>
      <c r="F211" s="400"/>
      <c r="G211" s="385">
        <f>G227+G254+G260+G248</f>
        <v>0</v>
      </c>
      <c r="H211" s="386"/>
      <c r="I211" s="373"/>
      <c r="J211" s="374"/>
      <c r="K211" s="400"/>
      <c r="L211" s="385">
        <f>L227+L254+L260+L248</f>
        <v>0</v>
      </c>
      <c r="M211" s="386"/>
      <c r="N211" s="373"/>
      <c r="O211" s="374"/>
      <c r="P211" s="400"/>
      <c r="Q211" s="385">
        <f>Q227+Q254+Q260+Q248</f>
        <v>0</v>
      </c>
      <c r="R211" s="386"/>
      <c r="S211" s="373"/>
      <c r="T211" s="374"/>
      <c r="U211" s="400"/>
      <c r="V211" s="385">
        <f>V227+V254+V260+V248</f>
        <v>0</v>
      </c>
      <c r="W211" s="386"/>
      <c r="X211" s="373"/>
      <c r="Y211" s="374"/>
      <c r="Z211" s="400"/>
      <c r="AA211" s="385">
        <f>AA227+AA254+AA260+AA248</f>
        <v>0</v>
      </c>
      <c r="AB211" s="386"/>
      <c r="AC211" s="373"/>
      <c r="AD211" s="374"/>
      <c r="AE211" s="400"/>
      <c r="AF211" s="385">
        <f>AF227+AF254+AF260+AF248</f>
        <v>0</v>
      </c>
      <c r="AG211" s="386"/>
      <c r="AH211" s="373"/>
      <c r="AI211" s="374"/>
      <c r="AJ211" s="400"/>
      <c r="AK211" s="385">
        <f>AK227+AK254+AK260+AK248</f>
        <v>0</v>
      </c>
      <c r="AL211" s="386"/>
      <c r="AM211" s="373"/>
      <c r="AN211" s="374"/>
      <c r="AO211" s="400"/>
      <c r="AP211" s="385">
        <f>AP227+AP254+AP260+AP248</f>
        <v>0</v>
      </c>
      <c r="AQ211" s="386"/>
      <c r="AR211" s="373"/>
      <c r="AS211" s="374"/>
      <c r="AT211" s="400"/>
      <c r="AU211" s="385">
        <f>AU227+AU254+AU260+AU248</f>
        <v>0</v>
      </c>
      <c r="AV211" s="386"/>
      <c r="AW211" s="373"/>
      <c r="AX211" s="374"/>
      <c r="AY211" s="400"/>
      <c r="AZ211" s="385">
        <f>AZ227+AZ254+AZ260+AZ248</f>
        <v>0</v>
      </c>
      <c r="BA211" s="386"/>
      <c r="BB211" s="373"/>
      <c r="BC211" s="374"/>
      <c r="BD211" s="400"/>
      <c r="BE211" s="385">
        <f>BE227+BE254+BE260+BE248</f>
        <v>0</v>
      </c>
      <c r="BF211" s="386"/>
      <c r="BG211" s="373"/>
      <c r="BH211" s="374"/>
      <c r="BI211" s="400"/>
      <c r="BJ211" s="385">
        <f>BJ227+BJ254+BJ260+BJ248</f>
        <v>0</v>
      </c>
      <c r="BK211" s="386"/>
      <c r="BL211" s="373"/>
      <c r="BM211" s="374"/>
      <c r="BN211" s="400"/>
      <c r="BO211" s="385">
        <f>BO227+BO254+BO260+BO248</f>
        <v>0</v>
      </c>
      <c r="BP211" s="386"/>
      <c r="BQ211" s="373"/>
      <c r="BR211" s="374"/>
      <c r="BS211" s="400"/>
      <c r="BT211" s="385">
        <f>BT227+BT254+BT260+BT248</f>
        <v>0</v>
      </c>
      <c r="BU211" s="386"/>
      <c r="BV211" s="373"/>
      <c r="BW211" s="9"/>
      <c r="BZ211" s="10"/>
      <c r="CA211" s="10"/>
    </row>
    <row r="212" spans="4:79" x14ac:dyDescent="0.2">
      <c r="D212" s="9"/>
      <c r="E212" s="397"/>
      <c r="F212" s="149"/>
      <c r="G212" s="373"/>
      <c r="H212" s="373"/>
      <c r="I212" s="373"/>
      <c r="J212" s="374"/>
      <c r="K212" s="149"/>
      <c r="L212" s="373"/>
      <c r="M212" s="373"/>
      <c r="N212" s="373"/>
      <c r="O212" s="374"/>
      <c r="P212" s="149"/>
      <c r="Q212" s="373"/>
      <c r="R212" s="373"/>
      <c r="S212" s="373"/>
      <c r="T212" s="374"/>
      <c r="U212" s="149"/>
      <c r="V212" s="373"/>
      <c r="W212" s="373"/>
      <c r="X212" s="373"/>
      <c r="Y212" s="374"/>
      <c r="Z212" s="149"/>
      <c r="AA212" s="373"/>
      <c r="AB212" s="373"/>
      <c r="AC212" s="373"/>
      <c r="AD212" s="374"/>
      <c r="AE212" s="149"/>
      <c r="AF212" s="373"/>
      <c r="AG212" s="373"/>
      <c r="AH212" s="373"/>
      <c r="AI212" s="374"/>
      <c r="AJ212" s="149"/>
      <c r="AK212" s="373"/>
      <c r="AL212" s="373"/>
      <c r="AM212" s="373"/>
      <c r="AN212" s="374"/>
      <c r="AO212" s="149"/>
      <c r="AP212" s="373"/>
      <c r="AQ212" s="373"/>
      <c r="AR212" s="373"/>
      <c r="AS212" s="374"/>
      <c r="AT212" s="149"/>
      <c r="AU212" s="373"/>
      <c r="AV212" s="373"/>
      <c r="AW212" s="373"/>
      <c r="AX212" s="374"/>
      <c r="AY212" s="149"/>
      <c r="AZ212" s="373"/>
      <c r="BA212" s="373"/>
      <c r="BB212" s="373"/>
      <c r="BC212" s="374"/>
      <c r="BD212" s="149"/>
      <c r="BE212" s="373"/>
      <c r="BF212" s="373"/>
      <c r="BG212" s="373"/>
      <c r="BH212" s="374"/>
      <c r="BI212" s="149"/>
      <c r="BJ212" s="373"/>
      <c r="BK212" s="373"/>
      <c r="BL212" s="373"/>
      <c r="BM212" s="374"/>
      <c r="BN212" s="149"/>
      <c r="BO212" s="373"/>
      <c r="BP212" s="373"/>
      <c r="BQ212" s="373"/>
      <c r="BR212" s="374"/>
      <c r="BS212" s="149"/>
      <c r="BT212" s="373"/>
      <c r="BU212" s="373"/>
      <c r="BV212" s="373"/>
      <c r="BW212" s="9"/>
      <c r="BZ212" s="10"/>
      <c r="CA212" s="10"/>
    </row>
    <row r="213" spans="4:79" x14ac:dyDescent="0.2">
      <c r="D213" s="9" t="s">
        <v>399</v>
      </c>
      <c r="G213" s="373">
        <f>SUM(G214:G216)</f>
        <v>0</v>
      </c>
      <c r="H213" s="373"/>
      <c r="I213" s="373"/>
      <c r="J213" s="374"/>
      <c r="K213" s="373"/>
      <c r="L213" s="373">
        <f>SUM(L214:L216)</f>
        <v>0</v>
      </c>
      <c r="M213" s="373"/>
      <c r="N213" s="373"/>
      <c r="O213" s="374"/>
      <c r="P213" s="373"/>
      <c r="Q213" s="373">
        <f>SUM(Q214:Q216)</f>
        <v>0</v>
      </c>
      <c r="R213" s="373"/>
      <c r="S213" s="373"/>
      <c r="T213" s="374"/>
      <c r="U213" s="373"/>
      <c r="V213" s="373">
        <f>SUM(V214:V216)</f>
        <v>0</v>
      </c>
      <c r="W213" s="373"/>
      <c r="X213" s="373"/>
      <c r="Y213" s="374"/>
      <c r="Z213" s="373"/>
      <c r="AA213" s="373">
        <f>SUM(AA214:AA216)</f>
        <v>0</v>
      </c>
      <c r="AB213" s="373"/>
      <c r="AC213" s="373"/>
      <c r="AD213" s="374"/>
      <c r="AE213" s="373"/>
      <c r="AF213" s="373">
        <f>SUM(AF214:AF216)</f>
        <v>0</v>
      </c>
      <c r="AG213" s="373"/>
      <c r="AH213" s="373"/>
      <c r="AI213" s="374"/>
      <c r="AJ213" s="373"/>
      <c r="AK213" s="373">
        <f>SUM(AK214:AK216)</f>
        <v>0</v>
      </c>
      <c r="AL213" s="373"/>
      <c r="AM213" s="373"/>
      <c r="AN213" s="374"/>
      <c r="AO213" s="373"/>
      <c r="AP213" s="373">
        <f>SUM(AP214:AP216)</f>
        <v>0</v>
      </c>
      <c r="AQ213" s="373"/>
      <c r="AR213" s="373"/>
      <c r="AS213" s="374"/>
      <c r="AT213" s="373"/>
      <c r="AU213" s="373">
        <f>SUM(AU214:AU216)</f>
        <v>0</v>
      </c>
      <c r="AV213" s="373"/>
      <c r="AW213" s="373"/>
      <c r="AX213" s="374"/>
      <c r="AY213" s="373"/>
      <c r="AZ213" s="373">
        <f>SUM(AZ214:AZ216)</f>
        <v>0</v>
      </c>
      <c r="BA213" s="373"/>
      <c r="BB213" s="373"/>
      <c r="BC213" s="374"/>
      <c r="BD213" s="373"/>
      <c r="BE213" s="373">
        <f>SUM(BE214:BE216)</f>
        <v>0</v>
      </c>
      <c r="BF213" s="373"/>
      <c r="BG213" s="373"/>
      <c r="BH213" s="374"/>
      <c r="BI213" s="373"/>
      <c r="BJ213" s="373">
        <f>SUM(BJ214:BJ216)</f>
        <v>0</v>
      </c>
      <c r="BK213" s="373"/>
      <c r="BL213" s="373"/>
      <c r="BM213" s="374"/>
      <c r="BN213" s="373"/>
      <c r="BO213" s="373">
        <f>SUM(BO214:BO216)</f>
        <v>0</v>
      </c>
      <c r="BP213" s="373"/>
      <c r="BQ213" s="373"/>
      <c r="BR213" s="374"/>
      <c r="BS213" s="373"/>
      <c r="BT213" s="373">
        <f>SUM(BT214:BT216)</f>
        <v>0</v>
      </c>
      <c r="BU213" s="373"/>
      <c r="BV213" s="373"/>
      <c r="BW213" s="9"/>
      <c r="BZ213" s="10"/>
      <c r="CA213" s="10"/>
    </row>
    <row r="214" spans="4:79" x14ac:dyDescent="0.2">
      <c r="D214" s="9" t="s">
        <v>343</v>
      </c>
      <c r="F214" s="309"/>
      <c r="G214" s="371">
        <v>0</v>
      </c>
      <c r="H214" s="372"/>
      <c r="I214" s="373"/>
      <c r="J214" s="374"/>
      <c r="K214" s="375"/>
      <c r="L214" s="371">
        <v>0</v>
      </c>
      <c r="M214" s="372"/>
      <c r="N214" s="373"/>
      <c r="O214" s="374"/>
      <c r="P214" s="375"/>
      <c r="Q214" s="371">
        <v>0</v>
      </c>
      <c r="R214" s="372"/>
      <c r="S214" s="373"/>
      <c r="T214" s="374"/>
      <c r="U214" s="375"/>
      <c r="V214" s="371">
        <v>0</v>
      </c>
      <c r="W214" s="372"/>
      <c r="X214" s="373"/>
      <c r="Y214" s="374"/>
      <c r="Z214" s="375"/>
      <c r="AA214" s="371">
        <v>0</v>
      </c>
      <c r="AB214" s="372"/>
      <c r="AC214" s="373"/>
      <c r="AD214" s="374"/>
      <c r="AE214" s="375"/>
      <c r="AF214" s="371">
        <v>0</v>
      </c>
      <c r="AG214" s="372"/>
      <c r="AH214" s="373"/>
      <c r="AI214" s="374"/>
      <c r="AJ214" s="375"/>
      <c r="AK214" s="371">
        <v>0</v>
      </c>
      <c r="AL214" s="372"/>
      <c r="AM214" s="373"/>
      <c r="AN214" s="374"/>
      <c r="AO214" s="375"/>
      <c r="AP214" s="371">
        <v>0</v>
      </c>
      <c r="AQ214" s="372"/>
      <c r="AR214" s="373"/>
      <c r="AS214" s="374"/>
      <c r="AT214" s="375"/>
      <c r="AU214" s="371">
        <v>0</v>
      </c>
      <c r="AV214" s="372"/>
      <c r="AW214" s="373"/>
      <c r="AX214" s="374"/>
      <c r="AY214" s="375"/>
      <c r="AZ214" s="371">
        <v>0</v>
      </c>
      <c r="BA214" s="372"/>
      <c r="BB214" s="373"/>
      <c r="BC214" s="374"/>
      <c r="BD214" s="375"/>
      <c r="BE214" s="371">
        <v>0</v>
      </c>
      <c r="BF214" s="372"/>
      <c r="BG214" s="373"/>
      <c r="BH214" s="374"/>
      <c r="BI214" s="375"/>
      <c r="BJ214" s="371">
        <v>0</v>
      </c>
      <c r="BK214" s="372"/>
      <c r="BL214" s="373"/>
      <c r="BM214" s="374"/>
      <c r="BN214" s="375"/>
      <c r="BO214" s="371">
        <v>0</v>
      </c>
      <c r="BP214" s="372"/>
      <c r="BQ214" s="373"/>
      <c r="BR214" s="374"/>
      <c r="BS214" s="375"/>
      <c r="BT214" s="371">
        <f>SUM(L214:BO214)</f>
        <v>0</v>
      </c>
      <c r="BU214" s="372"/>
      <c r="BV214" s="373"/>
      <c r="BW214" s="9"/>
      <c r="BZ214" s="10"/>
      <c r="CA214" s="10"/>
    </row>
    <row r="215" spans="4:79" x14ac:dyDescent="0.2">
      <c r="D215" s="9" t="s">
        <v>345</v>
      </c>
      <c r="F215" s="156"/>
      <c r="G215" s="373">
        <v>0</v>
      </c>
      <c r="H215" s="377"/>
      <c r="I215" s="373"/>
      <c r="J215" s="374"/>
      <c r="K215" s="374"/>
      <c r="L215" s="373">
        <v>0</v>
      </c>
      <c r="M215" s="377"/>
      <c r="N215" s="373"/>
      <c r="O215" s="374"/>
      <c r="P215" s="374"/>
      <c r="Q215" s="373">
        <v>0</v>
      </c>
      <c r="R215" s="377"/>
      <c r="S215" s="373"/>
      <c r="T215" s="374"/>
      <c r="U215" s="374"/>
      <c r="V215" s="373">
        <v>0</v>
      </c>
      <c r="W215" s="377"/>
      <c r="X215" s="373"/>
      <c r="Y215" s="374"/>
      <c r="Z215" s="374"/>
      <c r="AA215" s="373">
        <v>0</v>
      </c>
      <c r="AB215" s="377"/>
      <c r="AC215" s="373"/>
      <c r="AD215" s="374"/>
      <c r="AE215" s="374"/>
      <c r="AF215" s="373">
        <v>0</v>
      </c>
      <c r="AG215" s="377"/>
      <c r="AH215" s="373"/>
      <c r="AI215" s="374"/>
      <c r="AJ215" s="374"/>
      <c r="AK215" s="373">
        <v>0</v>
      </c>
      <c r="AL215" s="377"/>
      <c r="AM215" s="373"/>
      <c r="AN215" s="374"/>
      <c r="AO215" s="374"/>
      <c r="AP215" s="373">
        <v>0</v>
      </c>
      <c r="AQ215" s="377"/>
      <c r="AR215" s="373"/>
      <c r="AS215" s="374"/>
      <c r="AT215" s="374"/>
      <c r="AU215" s="373">
        <v>0</v>
      </c>
      <c r="AV215" s="377"/>
      <c r="AW215" s="373"/>
      <c r="AX215" s="374"/>
      <c r="AY215" s="374"/>
      <c r="AZ215" s="373">
        <v>0</v>
      </c>
      <c r="BA215" s="377"/>
      <c r="BB215" s="373"/>
      <c r="BC215" s="374"/>
      <c r="BD215" s="374"/>
      <c r="BE215" s="373">
        <v>0</v>
      </c>
      <c r="BF215" s="377"/>
      <c r="BG215" s="373"/>
      <c r="BH215" s="374"/>
      <c r="BI215" s="374"/>
      <c r="BJ215" s="373">
        <v>0</v>
      </c>
      <c r="BK215" s="377"/>
      <c r="BL215" s="373"/>
      <c r="BM215" s="374"/>
      <c r="BN215" s="374"/>
      <c r="BO215" s="373">
        <v>0</v>
      </c>
      <c r="BP215" s="377"/>
      <c r="BQ215" s="373"/>
      <c r="BR215" s="374"/>
      <c r="BS215" s="374"/>
      <c r="BT215" s="373">
        <f>SUM(L215:BO215)</f>
        <v>0</v>
      </c>
      <c r="BU215" s="377"/>
      <c r="BV215" s="373"/>
      <c r="BW215" s="9"/>
      <c r="BZ215" s="10"/>
      <c r="CA215" s="10"/>
    </row>
    <row r="216" spans="4:79" x14ac:dyDescent="0.2">
      <c r="D216" s="9" t="s">
        <v>353</v>
      </c>
      <c r="F216" s="320"/>
      <c r="G216" s="385">
        <v>0</v>
      </c>
      <c r="H216" s="386"/>
      <c r="I216" s="373"/>
      <c r="J216" s="374"/>
      <c r="K216" s="387"/>
      <c r="L216" s="385">
        <v>0</v>
      </c>
      <c r="M216" s="386"/>
      <c r="N216" s="373"/>
      <c r="O216" s="374"/>
      <c r="P216" s="387"/>
      <c r="Q216" s="385">
        <v>0</v>
      </c>
      <c r="R216" s="386"/>
      <c r="S216" s="373"/>
      <c r="T216" s="374"/>
      <c r="U216" s="387"/>
      <c r="V216" s="385">
        <v>0</v>
      </c>
      <c r="W216" s="386"/>
      <c r="X216" s="373"/>
      <c r="Y216" s="374"/>
      <c r="Z216" s="387"/>
      <c r="AA216" s="385">
        <v>0</v>
      </c>
      <c r="AB216" s="386"/>
      <c r="AC216" s="373"/>
      <c r="AD216" s="374"/>
      <c r="AE216" s="387"/>
      <c r="AF216" s="385">
        <v>0</v>
      </c>
      <c r="AG216" s="386"/>
      <c r="AH216" s="373"/>
      <c r="AI216" s="374"/>
      <c r="AJ216" s="387"/>
      <c r="AK216" s="385">
        <v>0</v>
      </c>
      <c r="AL216" s="386"/>
      <c r="AM216" s="373"/>
      <c r="AN216" s="374"/>
      <c r="AO216" s="387"/>
      <c r="AP216" s="385">
        <v>0</v>
      </c>
      <c r="AQ216" s="386"/>
      <c r="AR216" s="373"/>
      <c r="AS216" s="374"/>
      <c r="AT216" s="387"/>
      <c r="AU216" s="385">
        <v>0</v>
      </c>
      <c r="AV216" s="386"/>
      <c r="AW216" s="373"/>
      <c r="AX216" s="374"/>
      <c r="AY216" s="387"/>
      <c r="AZ216" s="385">
        <v>0</v>
      </c>
      <c r="BA216" s="386"/>
      <c r="BB216" s="373"/>
      <c r="BC216" s="374"/>
      <c r="BD216" s="387"/>
      <c r="BE216" s="385">
        <v>0</v>
      </c>
      <c r="BF216" s="386"/>
      <c r="BG216" s="373"/>
      <c r="BH216" s="374"/>
      <c r="BI216" s="387"/>
      <c r="BJ216" s="385">
        <v>0</v>
      </c>
      <c r="BK216" s="386"/>
      <c r="BL216" s="373"/>
      <c r="BM216" s="374"/>
      <c r="BN216" s="387"/>
      <c r="BO216" s="385">
        <v>0</v>
      </c>
      <c r="BP216" s="386"/>
      <c r="BQ216" s="373"/>
      <c r="BR216" s="374"/>
      <c r="BS216" s="387"/>
      <c r="BT216" s="385">
        <f>SUM(L216:BO216)</f>
        <v>0</v>
      </c>
      <c r="BU216" s="386"/>
      <c r="BV216" s="373"/>
      <c r="BW216" s="9"/>
      <c r="BZ216" s="10"/>
      <c r="CA216" s="10"/>
    </row>
    <row r="217" spans="4:79" x14ac:dyDescent="0.2">
      <c r="D217" s="9"/>
      <c r="G217" s="373"/>
      <c r="H217" s="373"/>
      <c r="I217" s="373"/>
      <c r="J217" s="374"/>
      <c r="K217" s="373"/>
      <c r="L217" s="373"/>
      <c r="M217" s="373"/>
      <c r="N217" s="373"/>
      <c r="O217" s="374"/>
      <c r="P217" s="373"/>
      <c r="Q217" s="373"/>
      <c r="R217" s="373"/>
      <c r="S217" s="373"/>
      <c r="T217" s="374"/>
      <c r="U217" s="373"/>
      <c r="V217" s="373"/>
      <c r="W217" s="373"/>
      <c r="X217" s="373"/>
      <c r="Y217" s="374"/>
      <c r="Z217" s="373"/>
      <c r="AA217" s="373"/>
      <c r="AB217" s="373"/>
      <c r="AC217" s="373"/>
      <c r="AD217" s="374"/>
      <c r="AE217" s="373"/>
      <c r="AF217" s="373"/>
      <c r="AG217" s="373"/>
      <c r="AH217" s="373"/>
      <c r="AI217" s="374"/>
      <c r="AJ217" s="373"/>
      <c r="AK217" s="373"/>
      <c r="AL217" s="373"/>
      <c r="AM217" s="373"/>
      <c r="AN217" s="374"/>
      <c r="AO217" s="373"/>
      <c r="AP217" s="373"/>
      <c r="AQ217" s="373"/>
      <c r="AR217" s="373"/>
      <c r="AS217" s="374"/>
      <c r="AT217" s="373"/>
      <c r="AU217" s="373"/>
      <c r="AV217" s="373"/>
      <c r="AW217" s="373"/>
      <c r="AX217" s="374"/>
      <c r="AY217" s="373"/>
      <c r="AZ217" s="373"/>
      <c r="BA217" s="373"/>
      <c r="BB217" s="373"/>
      <c r="BC217" s="374"/>
      <c r="BD217" s="373"/>
      <c r="BE217" s="373"/>
      <c r="BF217" s="373"/>
      <c r="BG217" s="373"/>
      <c r="BH217" s="374"/>
      <c r="BI217" s="373"/>
      <c r="BJ217" s="373"/>
      <c r="BK217" s="373"/>
      <c r="BL217" s="373"/>
      <c r="BM217" s="374"/>
      <c r="BN217" s="373"/>
      <c r="BO217" s="373"/>
      <c r="BP217" s="373"/>
      <c r="BQ217" s="373"/>
      <c r="BR217" s="374"/>
      <c r="BS217" s="373"/>
      <c r="BT217" s="373"/>
      <c r="BU217" s="373"/>
      <c r="BV217" s="373"/>
      <c r="BW217" s="9"/>
      <c r="BZ217" s="10"/>
      <c r="CA217" s="10"/>
    </row>
    <row r="218" spans="4:79" x14ac:dyDescent="0.2">
      <c r="D218" s="9" t="s">
        <v>354</v>
      </c>
      <c r="G218" s="373">
        <f>SUM(G219:G221)</f>
        <v>0</v>
      </c>
      <c r="H218" s="373"/>
      <c r="I218" s="373"/>
      <c r="J218" s="374"/>
      <c r="K218" s="373"/>
      <c r="L218" s="373">
        <f>SUM(L219:L221)</f>
        <v>0</v>
      </c>
      <c r="M218" s="373"/>
      <c r="N218" s="373"/>
      <c r="O218" s="374"/>
      <c r="P218" s="373"/>
      <c r="Q218" s="373">
        <f>SUM(Q219:Q221)</f>
        <v>0</v>
      </c>
      <c r="R218" s="373"/>
      <c r="S218" s="373"/>
      <c r="T218" s="374"/>
      <c r="U218" s="373"/>
      <c r="V218" s="373">
        <f>SUM(V219:V221)</f>
        <v>0</v>
      </c>
      <c r="W218" s="373"/>
      <c r="X218" s="373"/>
      <c r="Y218" s="374"/>
      <c r="Z218" s="373"/>
      <c r="AA218" s="373">
        <f>SUM(AA219:AA221)</f>
        <v>0</v>
      </c>
      <c r="AB218" s="373"/>
      <c r="AC218" s="373"/>
      <c r="AD218" s="374"/>
      <c r="AE218" s="373"/>
      <c r="AF218" s="373">
        <f>SUM(AF219:AF221)</f>
        <v>0</v>
      </c>
      <c r="AG218" s="373"/>
      <c r="AH218" s="373"/>
      <c r="AI218" s="374"/>
      <c r="AJ218" s="373"/>
      <c r="AK218" s="373">
        <f>SUM(AK219:AK221)</f>
        <v>0</v>
      </c>
      <c r="AL218" s="373"/>
      <c r="AM218" s="373"/>
      <c r="AN218" s="374"/>
      <c r="AO218" s="373"/>
      <c r="AP218" s="373">
        <f>SUM(AP219:AP221)</f>
        <v>0</v>
      </c>
      <c r="AQ218" s="373"/>
      <c r="AR218" s="373"/>
      <c r="AS218" s="374"/>
      <c r="AT218" s="373"/>
      <c r="AU218" s="373">
        <f>SUM(AU219:AU221)</f>
        <v>0</v>
      </c>
      <c r="AV218" s="373"/>
      <c r="AW218" s="373"/>
      <c r="AX218" s="374"/>
      <c r="AY218" s="373"/>
      <c r="AZ218" s="373">
        <f>SUM(AZ219:AZ221)</f>
        <v>0</v>
      </c>
      <c r="BA218" s="373"/>
      <c r="BB218" s="373"/>
      <c r="BC218" s="374"/>
      <c r="BD218" s="373"/>
      <c r="BE218" s="373">
        <f>SUM(BE219:BE221)</f>
        <v>0</v>
      </c>
      <c r="BF218" s="373"/>
      <c r="BG218" s="373"/>
      <c r="BH218" s="374"/>
      <c r="BI218" s="373"/>
      <c r="BJ218" s="373">
        <f>SUM(BJ219:BJ221)</f>
        <v>0</v>
      </c>
      <c r="BK218" s="373"/>
      <c r="BL218" s="373"/>
      <c r="BM218" s="374"/>
      <c r="BN218" s="373"/>
      <c r="BO218" s="373">
        <f>SUM(BO219:BO221)</f>
        <v>0</v>
      </c>
      <c r="BP218" s="373"/>
      <c r="BQ218" s="373"/>
      <c r="BR218" s="374"/>
      <c r="BS218" s="373"/>
      <c r="BT218" s="373">
        <f>SUM(BT219:BT221)</f>
        <v>0</v>
      </c>
      <c r="BU218" s="373"/>
      <c r="BV218" s="373"/>
      <c r="BW218" s="9"/>
      <c r="BZ218" s="10"/>
      <c r="CA218" s="10"/>
    </row>
    <row r="219" spans="4:79" x14ac:dyDescent="0.2">
      <c r="D219" s="9" t="s">
        <v>343</v>
      </c>
      <c r="F219" s="309"/>
      <c r="G219" s="371">
        <v>0</v>
      </c>
      <c r="H219" s="372"/>
      <c r="I219" s="373"/>
      <c r="J219" s="374"/>
      <c r="K219" s="375"/>
      <c r="L219" s="371">
        <v>0</v>
      </c>
      <c r="M219" s="372"/>
      <c r="N219" s="373"/>
      <c r="O219" s="374"/>
      <c r="P219" s="375"/>
      <c r="Q219" s="371">
        <v>0</v>
      </c>
      <c r="R219" s="372"/>
      <c r="S219" s="373"/>
      <c r="T219" s="374"/>
      <c r="U219" s="375"/>
      <c r="V219" s="371">
        <v>0</v>
      </c>
      <c r="W219" s="372"/>
      <c r="X219" s="373"/>
      <c r="Y219" s="374"/>
      <c r="Z219" s="375"/>
      <c r="AA219" s="371">
        <v>0</v>
      </c>
      <c r="AB219" s="372"/>
      <c r="AC219" s="373"/>
      <c r="AD219" s="374"/>
      <c r="AE219" s="375"/>
      <c r="AF219" s="371">
        <v>0</v>
      </c>
      <c r="AG219" s="372"/>
      <c r="AH219" s="373"/>
      <c r="AI219" s="374"/>
      <c r="AJ219" s="375"/>
      <c r="AK219" s="371">
        <v>0</v>
      </c>
      <c r="AL219" s="372"/>
      <c r="AM219" s="373"/>
      <c r="AN219" s="374"/>
      <c r="AO219" s="375"/>
      <c r="AP219" s="371">
        <v>0</v>
      </c>
      <c r="AQ219" s="372"/>
      <c r="AR219" s="373"/>
      <c r="AS219" s="374"/>
      <c r="AT219" s="375"/>
      <c r="AU219" s="371">
        <v>0</v>
      </c>
      <c r="AV219" s="372"/>
      <c r="AW219" s="373"/>
      <c r="AX219" s="374"/>
      <c r="AY219" s="375"/>
      <c r="AZ219" s="371">
        <v>0</v>
      </c>
      <c r="BA219" s="372"/>
      <c r="BB219" s="373"/>
      <c r="BC219" s="374"/>
      <c r="BD219" s="375"/>
      <c r="BE219" s="371">
        <v>0</v>
      </c>
      <c r="BF219" s="372"/>
      <c r="BG219" s="373"/>
      <c r="BH219" s="374"/>
      <c r="BI219" s="375"/>
      <c r="BJ219" s="371">
        <v>0</v>
      </c>
      <c r="BK219" s="372"/>
      <c r="BL219" s="373"/>
      <c r="BM219" s="374"/>
      <c r="BN219" s="375"/>
      <c r="BO219" s="371">
        <v>0</v>
      </c>
      <c r="BP219" s="372"/>
      <c r="BQ219" s="373"/>
      <c r="BR219" s="374"/>
      <c r="BS219" s="375"/>
      <c r="BT219" s="371">
        <f>SUM(L219:BO219)</f>
        <v>0</v>
      </c>
      <c r="BU219" s="372"/>
      <c r="BV219" s="373"/>
      <c r="BW219" s="9"/>
      <c r="BZ219" s="10"/>
      <c r="CA219" s="10"/>
    </row>
    <row r="220" spans="4:79" x14ac:dyDescent="0.2">
      <c r="D220" s="9" t="s">
        <v>345</v>
      </c>
      <c r="F220" s="156"/>
      <c r="G220" s="373">
        <v>0</v>
      </c>
      <c r="H220" s="377"/>
      <c r="I220" s="373"/>
      <c r="J220" s="374"/>
      <c r="K220" s="374"/>
      <c r="L220" s="373">
        <v>0</v>
      </c>
      <c r="M220" s="377"/>
      <c r="N220" s="373"/>
      <c r="O220" s="374"/>
      <c r="P220" s="374"/>
      <c r="Q220" s="373">
        <v>0</v>
      </c>
      <c r="R220" s="377"/>
      <c r="S220" s="373"/>
      <c r="T220" s="374"/>
      <c r="U220" s="374"/>
      <c r="V220" s="373">
        <v>0</v>
      </c>
      <c r="W220" s="377"/>
      <c r="X220" s="373"/>
      <c r="Y220" s="374"/>
      <c r="Z220" s="374"/>
      <c r="AA220" s="373">
        <v>0</v>
      </c>
      <c r="AB220" s="377"/>
      <c r="AC220" s="373"/>
      <c r="AD220" s="374"/>
      <c r="AE220" s="374"/>
      <c r="AF220" s="373">
        <v>0</v>
      </c>
      <c r="AG220" s="377"/>
      <c r="AH220" s="373"/>
      <c r="AI220" s="374"/>
      <c r="AJ220" s="374"/>
      <c r="AK220" s="373">
        <v>0</v>
      </c>
      <c r="AL220" s="377"/>
      <c r="AM220" s="373"/>
      <c r="AN220" s="374"/>
      <c r="AO220" s="374"/>
      <c r="AP220" s="373">
        <v>0</v>
      </c>
      <c r="AQ220" s="377"/>
      <c r="AR220" s="373"/>
      <c r="AS220" s="374"/>
      <c r="AT220" s="374"/>
      <c r="AU220" s="373">
        <v>0</v>
      </c>
      <c r="AV220" s="377"/>
      <c r="AW220" s="373"/>
      <c r="AX220" s="374"/>
      <c r="AY220" s="374"/>
      <c r="AZ220" s="373">
        <v>0</v>
      </c>
      <c r="BA220" s="377"/>
      <c r="BB220" s="373"/>
      <c r="BC220" s="374"/>
      <c r="BD220" s="374"/>
      <c r="BE220" s="373">
        <v>0</v>
      </c>
      <c r="BF220" s="377"/>
      <c r="BG220" s="373"/>
      <c r="BH220" s="374"/>
      <c r="BI220" s="374"/>
      <c r="BJ220" s="373">
        <v>0</v>
      </c>
      <c r="BK220" s="377"/>
      <c r="BL220" s="373"/>
      <c r="BM220" s="374"/>
      <c r="BN220" s="374"/>
      <c r="BO220" s="373">
        <v>0</v>
      </c>
      <c r="BP220" s="377"/>
      <c r="BQ220" s="373"/>
      <c r="BR220" s="374"/>
      <c r="BS220" s="374"/>
      <c r="BT220" s="373">
        <f>SUM(L220:BO220)</f>
        <v>0</v>
      </c>
      <c r="BU220" s="377"/>
      <c r="BV220" s="373"/>
      <c r="BW220" s="9"/>
      <c r="BZ220" s="10"/>
      <c r="CA220" s="10"/>
    </row>
    <row r="221" spans="4:79" x14ac:dyDescent="0.2">
      <c r="D221" s="9" t="s">
        <v>353</v>
      </c>
      <c r="F221" s="320"/>
      <c r="G221" s="385">
        <v>0</v>
      </c>
      <c r="H221" s="386"/>
      <c r="I221" s="373"/>
      <c r="J221" s="374"/>
      <c r="K221" s="387"/>
      <c r="L221" s="385">
        <v>0</v>
      </c>
      <c r="M221" s="386"/>
      <c r="N221" s="373"/>
      <c r="O221" s="374"/>
      <c r="P221" s="387"/>
      <c r="Q221" s="385">
        <v>0</v>
      </c>
      <c r="R221" s="386"/>
      <c r="S221" s="373"/>
      <c r="T221" s="374"/>
      <c r="U221" s="387"/>
      <c r="V221" s="385">
        <v>0</v>
      </c>
      <c r="W221" s="386"/>
      <c r="X221" s="373"/>
      <c r="Y221" s="374"/>
      <c r="Z221" s="387"/>
      <c r="AA221" s="385">
        <v>0</v>
      </c>
      <c r="AB221" s="386"/>
      <c r="AC221" s="373"/>
      <c r="AD221" s="374"/>
      <c r="AE221" s="387"/>
      <c r="AF221" s="385">
        <v>0</v>
      </c>
      <c r="AG221" s="386"/>
      <c r="AH221" s="373"/>
      <c r="AI221" s="374"/>
      <c r="AJ221" s="387"/>
      <c r="AK221" s="385">
        <v>0</v>
      </c>
      <c r="AL221" s="386"/>
      <c r="AM221" s="373"/>
      <c r="AN221" s="374"/>
      <c r="AO221" s="387"/>
      <c r="AP221" s="385">
        <v>0</v>
      </c>
      <c r="AQ221" s="386"/>
      <c r="AR221" s="373"/>
      <c r="AS221" s="374"/>
      <c r="AT221" s="387"/>
      <c r="AU221" s="385">
        <v>0</v>
      </c>
      <c r="AV221" s="386"/>
      <c r="AW221" s="373"/>
      <c r="AX221" s="374"/>
      <c r="AY221" s="387"/>
      <c r="AZ221" s="385">
        <v>0</v>
      </c>
      <c r="BA221" s="386"/>
      <c r="BB221" s="373"/>
      <c r="BC221" s="374"/>
      <c r="BD221" s="387"/>
      <c r="BE221" s="385">
        <v>0</v>
      </c>
      <c r="BF221" s="386"/>
      <c r="BG221" s="373"/>
      <c r="BH221" s="374"/>
      <c r="BI221" s="387"/>
      <c r="BJ221" s="385">
        <v>0</v>
      </c>
      <c r="BK221" s="386"/>
      <c r="BL221" s="373"/>
      <c r="BM221" s="374"/>
      <c r="BN221" s="387"/>
      <c r="BO221" s="385">
        <v>0</v>
      </c>
      <c r="BP221" s="386"/>
      <c r="BQ221" s="373"/>
      <c r="BR221" s="374"/>
      <c r="BS221" s="387"/>
      <c r="BT221" s="385">
        <f>SUM(L221:BO221)</f>
        <v>0</v>
      </c>
      <c r="BU221" s="386"/>
      <c r="BV221" s="373"/>
      <c r="BW221" s="9"/>
      <c r="BZ221" s="10"/>
      <c r="CA221" s="10"/>
    </row>
    <row r="222" spans="4:79" ht="12.75" customHeight="1" x14ac:dyDescent="0.2">
      <c r="D222" s="9"/>
      <c r="E222" s="397"/>
      <c r="F222" s="149"/>
      <c r="G222" s="373"/>
      <c r="H222" s="373"/>
      <c r="I222" s="373"/>
      <c r="J222" s="374"/>
      <c r="K222" s="149"/>
      <c r="L222" s="373"/>
      <c r="M222" s="373"/>
      <c r="N222" s="373"/>
      <c r="O222" s="374"/>
      <c r="P222" s="149"/>
      <c r="Q222" s="373"/>
      <c r="R222" s="373"/>
      <c r="S222" s="373"/>
      <c r="T222" s="374"/>
      <c r="U222" s="149"/>
      <c r="V222" s="373"/>
      <c r="W222" s="373"/>
      <c r="X222" s="373"/>
      <c r="Y222" s="374"/>
      <c r="Z222" s="149"/>
      <c r="AA222" s="373"/>
      <c r="AB222" s="373"/>
      <c r="AC222" s="373"/>
      <c r="AD222" s="374"/>
      <c r="AE222" s="149"/>
      <c r="AF222" s="373"/>
      <c r="AG222" s="373"/>
      <c r="AH222" s="373"/>
      <c r="AI222" s="374"/>
      <c r="AJ222" s="149"/>
      <c r="AK222" s="373"/>
      <c r="AL222" s="373"/>
      <c r="AM222" s="373"/>
      <c r="AN222" s="374"/>
      <c r="AO222" s="149"/>
      <c r="AP222" s="373"/>
      <c r="AQ222" s="373"/>
      <c r="AR222" s="373"/>
      <c r="AS222" s="374"/>
      <c r="AT222" s="149"/>
      <c r="AU222" s="373"/>
      <c r="AV222" s="373"/>
      <c r="AW222" s="373"/>
      <c r="AX222" s="374"/>
      <c r="AY222" s="149"/>
      <c r="AZ222" s="373"/>
      <c r="BA222" s="373"/>
      <c r="BB222" s="373"/>
      <c r="BC222" s="374"/>
      <c r="BD222" s="149"/>
      <c r="BE222" s="373"/>
      <c r="BF222" s="373"/>
      <c r="BG222" s="373"/>
      <c r="BH222" s="374"/>
      <c r="BI222" s="149"/>
      <c r="BJ222" s="373"/>
      <c r="BK222" s="373"/>
      <c r="BL222" s="373"/>
      <c r="BM222" s="374"/>
      <c r="BN222" s="149"/>
      <c r="BO222" s="373"/>
      <c r="BP222" s="373"/>
      <c r="BQ222" s="373"/>
      <c r="BR222" s="374"/>
      <c r="BS222" s="149"/>
      <c r="BT222" s="373"/>
      <c r="BU222" s="373"/>
      <c r="BV222" s="373"/>
      <c r="BW222" s="9"/>
      <c r="BZ222" s="10"/>
      <c r="CA222" s="10"/>
    </row>
    <row r="223" spans="4:79" ht="12.75" customHeight="1" x14ac:dyDescent="0.2">
      <c r="D223" s="9" t="str">
        <f>D114</f>
        <v xml:space="preserve">  R2040 (9.00%  2040/09/11)</v>
      </c>
      <c r="E223" s="397"/>
      <c r="F223" s="149"/>
      <c r="G223" s="373">
        <v>0</v>
      </c>
      <c r="H223" s="373"/>
      <c r="I223" s="373"/>
      <c r="J223" s="374"/>
      <c r="K223" s="373"/>
      <c r="L223" s="373">
        <v>0</v>
      </c>
      <c r="M223" s="373"/>
      <c r="N223" s="373"/>
      <c r="O223" s="374"/>
      <c r="P223" s="149"/>
      <c r="Q223" s="373">
        <f>SUM(Q224:Q226)</f>
        <v>0</v>
      </c>
      <c r="R223" s="373"/>
      <c r="S223" s="373"/>
      <c r="T223" s="374"/>
      <c r="U223" s="149"/>
      <c r="V223" s="373">
        <v>0</v>
      </c>
      <c r="W223" s="373"/>
      <c r="X223" s="373"/>
      <c r="Y223" s="374"/>
      <c r="Z223" s="149"/>
      <c r="AA223" s="373">
        <v>0</v>
      </c>
      <c r="AB223" s="373"/>
      <c r="AC223" s="373"/>
      <c r="AD223" s="374"/>
      <c r="AE223" s="149"/>
      <c r="AF223" s="373">
        <f>SUM(AF224:AF226)</f>
        <v>0</v>
      </c>
      <c r="AG223" s="373"/>
      <c r="AH223" s="373"/>
      <c r="AI223" s="374"/>
      <c r="AJ223" s="149"/>
      <c r="AK223" s="373">
        <f>SUM(AK224:AK226)</f>
        <v>0</v>
      </c>
      <c r="AL223" s="373"/>
      <c r="AM223" s="373"/>
      <c r="AN223" s="374"/>
      <c r="AO223" s="149"/>
      <c r="AP223" s="373">
        <v>0</v>
      </c>
      <c r="AQ223" s="373"/>
      <c r="AR223" s="373"/>
      <c r="AS223" s="374"/>
      <c r="AT223" s="149"/>
      <c r="AU223" s="373">
        <f>SUM(AU224:AU227)</f>
        <v>0</v>
      </c>
      <c r="AV223" s="373"/>
      <c r="AW223" s="373"/>
      <c r="AX223" s="374"/>
      <c r="AY223" s="149"/>
      <c r="AZ223" s="373">
        <f>SUM(AZ224:AZ226)</f>
        <v>0</v>
      </c>
      <c r="BA223" s="373"/>
      <c r="BB223" s="373"/>
      <c r="BC223" s="374"/>
      <c r="BD223" s="149"/>
      <c r="BE223" s="373">
        <v>0</v>
      </c>
      <c r="BF223" s="373"/>
      <c r="BG223" s="373"/>
      <c r="BH223" s="374"/>
      <c r="BI223" s="149"/>
      <c r="BJ223" s="373">
        <f>SUM(BJ224:BJ226)</f>
        <v>0</v>
      </c>
      <c r="BK223" s="373"/>
      <c r="BL223" s="373"/>
      <c r="BM223" s="374"/>
      <c r="BN223" s="149"/>
      <c r="BO223" s="373">
        <v>0</v>
      </c>
      <c r="BP223" s="373"/>
      <c r="BQ223" s="373"/>
      <c r="BR223" s="374"/>
      <c r="BS223" s="149"/>
      <c r="BT223" s="373">
        <f>SUM(BT224:BT227)</f>
        <v>0</v>
      </c>
      <c r="BU223" s="373"/>
      <c r="BV223" s="373"/>
      <c r="BW223" s="9"/>
      <c r="BZ223" s="10"/>
      <c r="CA223" s="10"/>
    </row>
    <row r="224" spans="4:79" ht="12.75" customHeight="1" x14ac:dyDescent="0.2">
      <c r="D224" s="9" t="s">
        <v>343</v>
      </c>
      <c r="E224" s="397"/>
      <c r="F224" s="309"/>
      <c r="G224" s="371">
        <v>0</v>
      </c>
      <c r="H224" s="372"/>
      <c r="I224" s="373"/>
      <c r="J224" s="374"/>
      <c r="K224" s="375"/>
      <c r="L224" s="371">
        <v>0</v>
      </c>
      <c r="M224" s="372"/>
      <c r="N224" s="373"/>
      <c r="O224" s="374"/>
      <c r="P224" s="375"/>
      <c r="Q224" s="371">
        <v>0</v>
      </c>
      <c r="R224" s="372"/>
      <c r="S224" s="373"/>
      <c r="T224" s="374"/>
      <c r="U224" s="398"/>
      <c r="V224" s="371">
        <v>0</v>
      </c>
      <c r="W224" s="372"/>
      <c r="X224" s="373"/>
      <c r="Y224" s="374"/>
      <c r="Z224" s="398"/>
      <c r="AA224" s="371">
        <v>0</v>
      </c>
      <c r="AB224" s="372"/>
      <c r="AC224" s="373"/>
      <c r="AD224" s="374"/>
      <c r="AE224" s="398"/>
      <c r="AF224" s="371">
        <v>0</v>
      </c>
      <c r="AG224" s="372"/>
      <c r="AH224" s="373"/>
      <c r="AI224" s="374"/>
      <c r="AJ224" s="398"/>
      <c r="AK224" s="371">
        <v>0</v>
      </c>
      <c r="AL224" s="372"/>
      <c r="AM224" s="373"/>
      <c r="AN224" s="374"/>
      <c r="AO224" s="398"/>
      <c r="AP224" s="371">
        <v>0</v>
      </c>
      <c r="AQ224" s="372"/>
      <c r="AR224" s="373"/>
      <c r="AS224" s="374"/>
      <c r="AT224" s="309"/>
      <c r="AU224" s="371">
        <v>0</v>
      </c>
      <c r="AV224" s="372"/>
      <c r="AW224" s="373"/>
      <c r="AX224" s="374"/>
      <c r="AY224" s="309"/>
      <c r="AZ224" s="371">
        <v>0</v>
      </c>
      <c r="BA224" s="372"/>
      <c r="BB224" s="373"/>
      <c r="BC224" s="374"/>
      <c r="BD224" s="309"/>
      <c r="BE224" s="371">
        <v>0</v>
      </c>
      <c r="BF224" s="372"/>
      <c r="BG224" s="373"/>
      <c r="BH224" s="374"/>
      <c r="BI224" s="309"/>
      <c r="BJ224" s="371">
        <v>0</v>
      </c>
      <c r="BK224" s="372"/>
      <c r="BL224" s="373"/>
      <c r="BM224" s="374"/>
      <c r="BN224" s="309"/>
      <c r="BO224" s="371">
        <v>0</v>
      </c>
      <c r="BP224" s="372"/>
      <c r="BQ224" s="373"/>
      <c r="BR224" s="374"/>
      <c r="BS224" s="309"/>
      <c r="BT224" s="371">
        <f>SUM(L224:BO224)</f>
        <v>0</v>
      </c>
      <c r="BU224" s="372"/>
      <c r="BV224" s="373"/>
      <c r="BW224" s="9"/>
      <c r="BZ224" s="10"/>
      <c r="CA224" s="10"/>
    </row>
    <row r="225" spans="4:79" ht="12.75" customHeight="1" x14ac:dyDescent="0.2">
      <c r="D225" s="9" t="s">
        <v>345</v>
      </c>
      <c r="E225" s="397"/>
      <c r="F225" s="156"/>
      <c r="G225" s="373">
        <v>0</v>
      </c>
      <c r="H225" s="377"/>
      <c r="I225" s="373"/>
      <c r="J225" s="374"/>
      <c r="K225" s="374"/>
      <c r="L225" s="373">
        <v>0</v>
      </c>
      <c r="M225" s="377"/>
      <c r="N225" s="373"/>
      <c r="O225" s="374"/>
      <c r="P225" s="374"/>
      <c r="Q225" s="373">
        <v>0</v>
      </c>
      <c r="R225" s="377"/>
      <c r="S225" s="373"/>
      <c r="T225" s="374"/>
      <c r="U225" s="366"/>
      <c r="V225" s="373">
        <v>0</v>
      </c>
      <c r="W225" s="377"/>
      <c r="X225" s="373"/>
      <c r="Y225" s="374"/>
      <c r="Z225" s="366"/>
      <c r="AA225" s="373">
        <v>0</v>
      </c>
      <c r="AB225" s="377"/>
      <c r="AC225" s="373"/>
      <c r="AD225" s="374"/>
      <c r="AE225" s="366"/>
      <c r="AF225" s="373">
        <v>0</v>
      </c>
      <c r="AG225" s="377"/>
      <c r="AH225" s="373"/>
      <c r="AI225" s="374"/>
      <c r="AJ225" s="366"/>
      <c r="AK225" s="373">
        <v>0</v>
      </c>
      <c r="AL225" s="377"/>
      <c r="AM225" s="373"/>
      <c r="AN225" s="374"/>
      <c r="AO225" s="366"/>
      <c r="AP225" s="373">
        <v>0</v>
      </c>
      <c r="AQ225" s="377"/>
      <c r="AR225" s="373"/>
      <c r="AS225" s="374"/>
      <c r="AT225" s="156"/>
      <c r="AU225" s="373">
        <v>0</v>
      </c>
      <c r="AV225" s="377"/>
      <c r="AW225" s="373"/>
      <c r="AX225" s="374"/>
      <c r="AY225" s="156"/>
      <c r="AZ225" s="373">
        <v>0</v>
      </c>
      <c r="BA225" s="377"/>
      <c r="BB225" s="373"/>
      <c r="BC225" s="374"/>
      <c r="BD225" s="156"/>
      <c r="BE225" s="373">
        <v>0</v>
      </c>
      <c r="BF225" s="377"/>
      <c r="BG225" s="373"/>
      <c r="BH225" s="374"/>
      <c r="BI225" s="156"/>
      <c r="BJ225" s="373">
        <v>0</v>
      </c>
      <c r="BK225" s="377"/>
      <c r="BL225" s="373"/>
      <c r="BM225" s="374"/>
      <c r="BN225" s="156"/>
      <c r="BO225" s="373">
        <v>0</v>
      </c>
      <c r="BP225" s="377"/>
      <c r="BQ225" s="373"/>
      <c r="BR225" s="374"/>
      <c r="BS225" s="156"/>
      <c r="BT225" s="373">
        <f>SUM(L225:BO225)</f>
        <v>0</v>
      </c>
      <c r="BU225" s="377"/>
      <c r="BV225" s="373"/>
      <c r="BW225" s="9"/>
      <c r="BZ225" s="10"/>
      <c r="CA225" s="10"/>
    </row>
    <row r="226" spans="4:79" ht="12.75" customHeight="1" x14ac:dyDescent="0.2">
      <c r="D226" s="9" t="s">
        <v>353</v>
      </c>
      <c r="E226" s="397"/>
      <c r="F226" s="320"/>
      <c r="G226" s="385">
        <v>0</v>
      </c>
      <c r="H226" s="386"/>
      <c r="I226" s="373"/>
      <c r="J226" s="374"/>
      <c r="K226" s="387"/>
      <c r="L226" s="385">
        <v>0</v>
      </c>
      <c r="M226" s="386"/>
      <c r="N226" s="373"/>
      <c r="O226" s="374"/>
      <c r="P226" s="387"/>
      <c r="Q226" s="385">
        <v>0</v>
      </c>
      <c r="R226" s="386"/>
      <c r="S226" s="373"/>
      <c r="T226" s="374"/>
      <c r="U226" s="320"/>
      <c r="V226" s="385">
        <v>0</v>
      </c>
      <c r="W226" s="386"/>
      <c r="X226" s="373"/>
      <c r="Y226" s="374"/>
      <c r="Z226" s="320"/>
      <c r="AA226" s="385">
        <v>0</v>
      </c>
      <c r="AB226" s="386"/>
      <c r="AC226" s="373"/>
      <c r="AD226" s="374"/>
      <c r="AE226" s="320"/>
      <c r="AF226" s="385">
        <v>0</v>
      </c>
      <c r="AG226" s="386"/>
      <c r="AH226" s="373"/>
      <c r="AI226" s="374"/>
      <c r="AJ226" s="320"/>
      <c r="AK226" s="385">
        <v>0</v>
      </c>
      <c r="AL226" s="386"/>
      <c r="AM226" s="373"/>
      <c r="AN226" s="374"/>
      <c r="AO226" s="320"/>
      <c r="AP226" s="385">
        <v>0</v>
      </c>
      <c r="AQ226" s="386"/>
      <c r="AR226" s="373"/>
      <c r="AS226" s="374"/>
      <c r="AT226" s="320"/>
      <c r="AU226" s="385">
        <v>0</v>
      </c>
      <c r="AV226" s="386"/>
      <c r="AW226" s="373"/>
      <c r="AX226" s="374"/>
      <c r="AY226" s="320"/>
      <c r="AZ226" s="385">
        <v>0</v>
      </c>
      <c r="BA226" s="386"/>
      <c r="BB226" s="373"/>
      <c r="BC226" s="374"/>
      <c r="BD226" s="320"/>
      <c r="BE226" s="385">
        <v>0</v>
      </c>
      <c r="BF226" s="386"/>
      <c r="BG226" s="373"/>
      <c r="BH226" s="374"/>
      <c r="BI226" s="320"/>
      <c r="BJ226" s="385">
        <v>0</v>
      </c>
      <c r="BK226" s="386"/>
      <c r="BL226" s="373"/>
      <c r="BM226" s="374"/>
      <c r="BN226" s="320"/>
      <c r="BO226" s="385">
        <v>0</v>
      </c>
      <c r="BP226" s="386"/>
      <c r="BQ226" s="373"/>
      <c r="BR226" s="374"/>
      <c r="BS226" s="320"/>
      <c r="BT226" s="385">
        <f>SUM(L226:BO226)</f>
        <v>0</v>
      </c>
      <c r="BU226" s="386"/>
      <c r="BV226" s="373"/>
      <c r="BW226" s="9"/>
      <c r="BZ226" s="10"/>
      <c r="CA226" s="10"/>
    </row>
    <row r="227" spans="4:79" ht="12.75" hidden="1" customHeight="1" x14ac:dyDescent="0.2">
      <c r="D227" s="9" t="s">
        <v>347</v>
      </c>
      <c r="E227" s="397"/>
      <c r="F227" s="400"/>
      <c r="G227" s="385">
        <v>0</v>
      </c>
      <c r="H227" s="386"/>
      <c r="I227" s="373"/>
      <c r="J227" s="374"/>
      <c r="K227" s="400"/>
      <c r="L227" s="385">
        <v>0</v>
      </c>
      <c r="M227" s="386"/>
      <c r="N227" s="373"/>
      <c r="O227" s="374"/>
      <c r="P227" s="400"/>
      <c r="Q227" s="385">
        <v>0</v>
      </c>
      <c r="R227" s="386"/>
      <c r="S227" s="373"/>
      <c r="T227" s="374"/>
      <c r="U227" s="400"/>
      <c r="V227" s="385">
        <v>0</v>
      </c>
      <c r="W227" s="386"/>
      <c r="X227" s="373"/>
      <c r="Y227" s="374"/>
      <c r="Z227" s="400"/>
      <c r="AA227" s="385">
        <v>0</v>
      </c>
      <c r="AB227" s="386"/>
      <c r="AC227" s="373"/>
      <c r="AD227" s="374"/>
      <c r="AE227" s="400"/>
      <c r="AF227" s="385">
        <v>0</v>
      </c>
      <c r="AG227" s="386"/>
      <c r="AH227" s="373"/>
      <c r="AI227" s="374"/>
      <c r="AJ227" s="400"/>
      <c r="AK227" s="385">
        <v>0</v>
      </c>
      <c r="AL227" s="386"/>
      <c r="AM227" s="373"/>
      <c r="AN227" s="374"/>
      <c r="AO227" s="400"/>
      <c r="AP227" s="385">
        <v>0</v>
      </c>
      <c r="AQ227" s="386"/>
      <c r="AR227" s="373"/>
      <c r="AS227" s="374"/>
      <c r="AT227" s="400"/>
      <c r="AU227" s="385">
        <v>0</v>
      </c>
      <c r="AV227" s="386"/>
      <c r="AW227" s="373"/>
      <c r="AX227" s="374"/>
      <c r="AY227" s="400"/>
      <c r="AZ227" s="385">
        <v>0</v>
      </c>
      <c r="BA227" s="386"/>
      <c r="BB227" s="373"/>
      <c r="BC227" s="374"/>
      <c r="BD227" s="400"/>
      <c r="BE227" s="385">
        <v>0</v>
      </c>
      <c r="BF227" s="386"/>
      <c r="BG227" s="373"/>
      <c r="BH227" s="374"/>
      <c r="BI227" s="400"/>
      <c r="BJ227" s="385">
        <v>0</v>
      </c>
      <c r="BK227" s="386"/>
      <c r="BL227" s="373"/>
      <c r="BM227" s="374"/>
      <c r="BN227" s="400"/>
      <c r="BO227" s="385">
        <v>0</v>
      </c>
      <c r="BP227" s="386"/>
      <c r="BQ227" s="373"/>
      <c r="BR227" s="374"/>
      <c r="BS227" s="400"/>
      <c r="BT227" s="385">
        <f>SUM(L227:BO227)</f>
        <v>0</v>
      </c>
      <c r="BU227" s="386"/>
      <c r="BV227" s="373"/>
      <c r="BW227" s="9"/>
      <c r="BZ227" s="10"/>
      <c r="CA227" s="10"/>
    </row>
    <row r="228" spans="4:79" ht="12.75" customHeight="1" x14ac:dyDescent="0.2">
      <c r="D228" s="9"/>
      <c r="E228" s="397"/>
      <c r="F228" s="149"/>
      <c r="G228" s="373"/>
      <c r="H228" s="373"/>
      <c r="I228" s="373"/>
      <c r="J228" s="374"/>
      <c r="K228" s="149"/>
      <c r="L228" s="373"/>
      <c r="M228" s="373"/>
      <c r="N228" s="373"/>
      <c r="O228" s="374"/>
      <c r="P228" s="149"/>
      <c r="Q228" s="373"/>
      <c r="R228" s="373"/>
      <c r="S228" s="373"/>
      <c r="T228" s="374"/>
      <c r="U228" s="149"/>
      <c r="V228" s="373"/>
      <c r="W228" s="373"/>
      <c r="X228" s="373"/>
      <c r="Y228" s="374"/>
      <c r="Z228" s="149"/>
      <c r="AA228" s="373"/>
      <c r="AB228" s="373"/>
      <c r="AC228" s="373"/>
      <c r="AD228" s="374"/>
      <c r="AE228" s="149"/>
      <c r="AF228" s="373"/>
      <c r="AG228" s="373"/>
      <c r="AH228" s="373"/>
      <c r="AI228" s="374"/>
      <c r="AJ228" s="149"/>
      <c r="AK228" s="373"/>
      <c r="AL228" s="373"/>
      <c r="AM228" s="373"/>
      <c r="AN228" s="374"/>
      <c r="AO228" s="149"/>
      <c r="AP228" s="373"/>
      <c r="AQ228" s="373"/>
      <c r="AR228" s="373"/>
      <c r="AS228" s="374"/>
      <c r="AT228" s="149"/>
      <c r="AU228" s="373"/>
      <c r="AV228" s="373"/>
      <c r="AW228" s="373"/>
      <c r="AX228" s="374"/>
      <c r="AY228" s="149"/>
      <c r="AZ228" s="373"/>
      <c r="BA228" s="373"/>
      <c r="BB228" s="373"/>
      <c r="BC228" s="374"/>
      <c r="BD228" s="149"/>
      <c r="BE228" s="373"/>
      <c r="BF228" s="373"/>
      <c r="BG228" s="373"/>
      <c r="BH228" s="374"/>
      <c r="BI228" s="149"/>
      <c r="BJ228" s="373"/>
      <c r="BK228" s="373"/>
      <c r="BL228" s="373"/>
      <c r="BM228" s="374"/>
      <c r="BN228" s="149"/>
      <c r="BO228" s="373"/>
      <c r="BP228" s="373"/>
      <c r="BQ228" s="373"/>
      <c r="BR228" s="374"/>
      <c r="BS228" s="149"/>
      <c r="BT228" s="373"/>
      <c r="BU228" s="373"/>
      <c r="BV228" s="373"/>
      <c r="BW228" s="9"/>
      <c r="BZ228" s="10"/>
      <c r="CA228" s="10"/>
    </row>
    <row r="229" spans="4:79" ht="12.75" customHeight="1" x14ac:dyDescent="0.2">
      <c r="D229" s="9" t="s">
        <v>374</v>
      </c>
      <c r="E229" s="397"/>
      <c r="G229" s="373">
        <f>SUM(G230:G232)</f>
        <v>0</v>
      </c>
      <c r="H229" s="373"/>
      <c r="I229" s="373"/>
      <c r="J229" s="374"/>
      <c r="L229" s="373">
        <f>SUM(L230:L232)</f>
        <v>0</v>
      </c>
      <c r="M229" s="373"/>
      <c r="N229" s="373"/>
      <c r="O229" s="374"/>
      <c r="Q229" s="373">
        <f>SUM(Q230:Q232)</f>
        <v>0</v>
      </c>
      <c r="R229" s="373"/>
      <c r="S229" s="373"/>
      <c r="T229" s="374"/>
      <c r="V229" s="373">
        <f>SUM(V230:V232)</f>
        <v>0</v>
      </c>
      <c r="W229" s="373"/>
      <c r="X229" s="373"/>
      <c r="Y229" s="374"/>
      <c r="AA229" s="373">
        <f>SUM(AA230:AA232)</f>
        <v>0</v>
      </c>
      <c r="AB229" s="373"/>
      <c r="AC229" s="373"/>
      <c r="AD229" s="374"/>
      <c r="AF229" s="373">
        <f>SUM(AF230:AF232)</f>
        <v>0</v>
      </c>
      <c r="AG229" s="373"/>
      <c r="AH229" s="373"/>
      <c r="AI229" s="374"/>
      <c r="AK229" s="373">
        <f>SUM(AK230:AK232)</f>
        <v>0</v>
      </c>
      <c r="AL229" s="373"/>
      <c r="AM229" s="373"/>
      <c r="AN229" s="374"/>
      <c r="AP229" s="373">
        <f>SUM(AP230:AP232)</f>
        <v>0</v>
      </c>
      <c r="AQ229" s="373"/>
      <c r="AR229" s="373"/>
      <c r="AS229" s="374"/>
      <c r="AU229" s="373">
        <f>SUM(AU230:AU232)</f>
        <v>0</v>
      </c>
      <c r="AV229" s="373"/>
      <c r="AW229" s="373"/>
      <c r="AX229" s="374"/>
      <c r="AZ229" s="373">
        <f>SUM(AZ230:AZ232)</f>
        <v>0</v>
      </c>
      <c r="BA229" s="373"/>
      <c r="BB229" s="373"/>
      <c r="BC229" s="374"/>
      <c r="BE229" s="373">
        <f>SUM(BE230:BE232)</f>
        <v>0</v>
      </c>
      <c r="BF229" s="373"/>
      <c r="BG229" s="373"/>
      <c r="BH229" s="374"/>
      <c r="BJ229" s="373">
        <f>SUM(BJ230:BJ232)</f>
        <v>0</v>
      </c>
      <c r="BK229" s="373"/>
      <c r="BL229" s="373"/>
      <c r="BM229" s="374"/>
      <c r="BO229" s="373">
        <f>SUM(BO230:BO232)</f>
        <v>0</v>
      </c>
      <c r="BP229" s="373"/>
      <c r="BQ229" s="373"/>
      <c r="BR229" s="374"/>
      <c r="BT229" s="373">
        <f>SUM(BT230:BT232)</f>
        <v>0</v>
      </c>
      <c r="BU229" s="373"/>
      <c r="BV229" s="373"/>
      <c r="BW229" s="9"/>
      <c r="BZ229" s="10"/>
      <c r="CA229" s="10"/>
    </row>
    <row r="230" spans="4:79" ht="12.75" customHeight="1" x14ac:dyDescent="0.2">
      <c r="D230" s="9" t="s">
        <v>343</v>
      </c>
      <c r="E230" s="397"/>
      <c r="F230" s="309"/>
      <c r="G230" s="371">
        <v>0</v>
      </c>
      <c r="H230" s="372"/>
      <c r="I230" s="373"/>
      <c r="J230" s="374"/>
      <c r="K230" s="309"/>
      <c r="L230" s="371">
        <v>0</v>
      </c>
      <c r="M230" s="372"/>
      <c r="N230" s="373"/>
      <c r="O230" s="374"/>
      <c r="P230" s="309"/>
      <c r="Q230" s="371">
        <v>0</v>
      </c>
      <c r="R230" s="372"/>
      <c r="S230" s="373"/>
      <c r="T230" s="374"/>
      <c r="U230" s="309"/>
      <c r="V230" s="371">
        <v>0</v>
      </c>
      <c r="W230" s="372"/>
      <c r="X230" s="373"/>
      <c r="Y230" s="374"/>
      <c r="Z230" s="309"/>
      <c r="AA230" s="371">
        <v>0</v>
      </c>
      <c r="AB230" s="372"/>
      <c r="AC230" s="373"/>
      <c r="AD230" s="374"/>
      <c r="AE230" s="309"/>
      <c r="AF230" s="371">
        <v>0</v>
      </c>
      <c r="AG230" s="372"/>
      <c r="AH230" s="373"/>
      <c r="AI230" s="374"/>
      <c r="AJ230" s="309"/>
      <c r="AK230" s="371">
        <v>0</v>
      </c>
      <c r="AL230" s="372"/>
      <c r="AM230" s="373"/>
      <c r="AN230" s="374"/>
      <c r="AO230" s="309"/>
      <c r="AP230" s="371">
        <v>0</v>
      </c>
      <c r="AQ230" s="372"/>
      <c r="AR230" s="373"/>
      <c r="AS230" s="374"/>
      <c r="AT230" s="309"/>
      <c r="AU230" s="371">
        <v>0</v>
      </c>
      <c r="AV230" s="372"/>
      <c r="AW230" s="373"/>
      <c r="AX230" s="374"/>
      <c r="AY230" s="309"/>
      <c r="AZ230" s="371">
        <v>0</v>
      </c>
      <c r="BA230" s="372"/>
      <c r="BB230" s="373"/>
      <c r="BC230" s="374"/>
      <c r="BD230" s="309"/>
      <c r="BE230" s="371">
        <v>0</v>
      </c>
      <c r="BF230" s="372"/>
      <c r="BG230" s="373"/>
      <c r="BH230" s="374"/>
      <c r="BI230" s="309"/>
      <c r="BJ230" s="371">
        <v>0</v>
      </c>
      <c r="BK230" s="372"/>
      <c r="BL230" s="373"/>
      <c r="BM230" s="374"/>
      <c r="BN230" s="309"/>
      <c r="BO230" s="371">
        <v>0</v>
      </c>
      <c r="BP230" s="372"/>
      <c r="BQ230" s="373"/>
      <c r="BR230" s="374"/>
      <c r="BS230" s="309"/>
      <c r="BT230" s="371">
        <f>SUM(L230:BO230)</f>
        <v>0</v>
      </c>
      <c r="BU230" s="372"/>
      <c r="BV230" s="373"/>
      <c r="BW230" s="9"/>
      <c r="BZ230" s="10"/>
      <c r="CA230" s="10"/>
    </row>
    <row r="231" spans="4:79" ht="12.75" customHeight="1" x14ac:dyDescent="0.2">
      <c r="D231" s="9" t="s">
        <v>345</v>
      </c>
      <c r="E231" s="397"/>
      <c r="F231" s="156"/>
      <c r="G231" s="373">
        <v>0</v>
      </c>
      <c r="H231" s="377"/>
      <c r="I231" s="373"/>
      <c r="J231" s="374"/>
      <c r="K231" s="156"/>
      <c r="L231" s="373">
        <v>0</v>
      </c>
      <c r="M231" s="377"/>
      <c r="N231" s="373"/>
      <c r="O231" s="374"/>
      <c r="P231" s="156"/>
      <c r="Q231" s="373">
        <v>0</v>
      </c>
      <c r="R231" s="377"/>
      <c r="S231" s="373"/>
      <c r="T231" s="374"/>
      <c r="U231" s="156"/>
      <c r="V231" s="373">
        <v>0</v>
      </c>
      <c r="W231" s="377"/>
      <c r="X231" s="373"/>
      <c r="Y231" s="374"/>
      <c r="Z231" s="156"/>
      <c r="AA231" s="373">
        <v>0</v>
      </c>
      <c r="AB231" s="377"/>
      <c r="AC231" s="373"/>
      <c r="AD231" s="374"/>
      <c r="AE231" s="156"/>
      <c r="AF231" s="373">
        <v>0</v>
      </c>
      <c r="AG231" s="377"/>
      <c r="AH231" s="373"/>
      <c r="AI231" s="374"/>
      <c r="AJ231" s="156"/>
      <c r="AK231" s="373">
        <v>0</v>
      </c>
      <c r="AL231" s="377"/>
      <c r="AM231" s="373"/>
      <c r="AN231" s="374"/>
      <c r="AO231" s="156"/>
      <c r="AP231" s="373">
        <v>0</v>
      </c>
      <c r="AQ231" s="377"/>
      <c r="AR231" s="373"/>
      <c r="AS231" s="374"/>
      <c r="AT231" s="156"/>
      <c r="AU231" s="373">
        <v>0</v>
      </c>
      <c r="AV231" s="377"/>
      <c r="AW231" s="373"/>
      <c r="AX231" s="374"/>
      <c r="AY231" s="156"/>
      <c r="AZ231" s="373">
        <v>0</v>
      </c>
      <c r="BA231" s="377"/>
      <c r="BB231" s="373"/>
      <c r="BC231" s="374"/>
      <c r="BD231" s="156"/>
      <c r="BE231" s="373">
        <v>0</v>
      </c>
      <c r="BF231" s="377"/>
      <c r="BG231" s="373"/>
      <c r="BH231" s="374"/>
      <c r="BI231" s="156"/>
      <c r="BJ231" s="373">
        <v>0</v>
      </c>
      <c r="BK231" s="377"/>
      <c r="BL231" s="373"/>
      <c r="BM231" s="374"/>
      <c r="BN231" s="156"/>
      <c r="BO231" s="373">
        <v>0</v>
      </c>
      <c r="BP231" s="377"/>
      <c r="BQ231" s="373"/>
      <c r="BR231" s="374"/>
      <c r="BS231" s="156"/>
      <c r="BT231" s="373">
        <f>SUM(L231:BO231)</f>
        <v>0</v>
      </c>
      <c r="BU231" s="377"/>
      <c r="BV231" s="373"/>
      <c r="BW231" s="9"/>
      <c r="BZ231" s="10"/>
      <c r="CA231" s="10"/>
    </row>
    <row r="232" spans="4:79" ht="12.75" customHeight="1" x14ac:dyDescent="0.2">
      <c r="D232" s="9" t="s">
        <v>353</v>
      </c>
      <c r="E232" s="397"/>
      <c r="F232" s="320"/>
      <c r="G232" s="385">
        <v>0</v>
      </c>
      <c r="H232" s="386"/>
      <c r="I232" s="373"/>
      <c r="J232" s="374"/>
      <c r="K232" s="320"/>
      <c r="L232" s="385">
        <v>0</v>
      </c>
      <c r="M232" s="386"/>
      <c r="N232" s="373"/>
      <c r="O232" s="374"/>
      <c r="P232" s="320"/>
      <c r="Q232" s="385">
        <v>0</v>
      </c>
      <c r="R232" s="386"/>
      <c r="S232" s="373"/>
      <c r="T232" s="374"/>
      <c r="U232" s="320"/>
      <c r="V232" s="385">
        <v>0</v>
      </c>
      <c r="W232" s="386"/>
      <c r="X232" s="373"/>
      <c r="Y232" s="374"/>
      <c r="Z232" s="320"/>
      <c r="AA232" s="385">
        <v>0</v>
      </c>
      <c r="AB232" s="386"/>
      <c r="AC232" s="373"/>
      <c r="AD232" s="374"/>
      <c r="AE232" s="320"/>
      <c r="AF232" s="385">
        <v>0</v>
      </c>
      <c r="AG232" s="386"/>
      <c r="AH232" s="373"/>
      <c r="AI232" s="374"/>
      <c r="AJ232" s="320"/>
      <c r="AK232" s="385">
        <v>0</v>
      </c>
      <c r="AL232" s="386"/>
      <c r="AM232" s="373"/>
      <c r="AN232" s="374"/>
      <c r="AO232" s="320"/>
      <c r="AP232" s="385">
        <v>0</v>
      </c>
      <c r="AQ232" s="386"/>
      <c r="AR232" s="373"/>
      <c r="AS232" s="374"/>
      <c r="AT232" s="320"/>
      <c r="AU232" s="385">
        <v>0</v>
      </c>
      <c r="AV232" s="386"/>
      <c r="AW232" s="373"/>
      <c r="AX232" s="374"/>
      <c r="AY232" s="320"/>
      <c r="AZ232" s="385">
        <v>0</v>
      </c>
      <c r="BA232" s="386"/>
      <c r="BB232" s="373"/>
      <c r="BC232" s="374"/>
      <c r="BD232" s="320"/>
      <c r="BE232" s="385">
        <v>0</v>
      </c>
      <c r="BF232" s="386"/>
      <c r="BG232" s="373"/>
      <c r="BH232" s="374"/>
      <c r="BI232" s="320"/>
      <c r="BJ232" s="385">
        <v>0</v>
      </c>
      <c r="BK232" s="386"/>
      <c r="BL232" s="373"/>
      <c r="BM232" s="374"/>
      <c r="BN232" s="320"/>
      <c r="BO232" s="385">
        <v>0</v>
      </c>
      <c r="BP232" s="386"/>
      <c r="BQ232" s="373"/>
      <c r="BR232" s="374"/>
      <c r="BS232" s="320"/>
      <c r="BT232" s="385">
        <f>SUM(L232:BO232)</f>
        <v>0</v>
      </c>
      <c r="BU232" s="386"/>
      <c r="BV232" s="373"/>
      <c r="BW232" s="9"/>
      <c r="BZ232" s="10"/>
      <c r="CA232" s="10"/>
    </row>
    <row r="233" spans="4:79" ht="12.75" customHeight="1" x14ac:dyDescent="0.2">
      <c r="D233" s="9"/>
      <c r="E233" s="397"/>
      <c r="G233" s="373"/>
      <c r="H233" s="373"/>
      <c r="I233" s="373"/>
      <c r="J233" s="374"/>
      <c r="L233" s="373"/>
      <c r="M233" s="373"/>
      <c r="N233" s="373"/>
      <c r="O233" s="374"/>
      <c r="Q233" s="373"/>
      <c r="R233" s="373"/>
      <c r="S233" s="373"/>
      <c r="T233" s="374"/>
      <c r="V233" s="373"/>
      <c r="W233" s="373"/>
      <c r="X233" s="373"/>
      <c r="Y233" s="374"/>
      <c r="AA233" s="373"/>
      <c r="AB233" s="373"/>
      <c r="AC233" s="373"/>
      <c r="AD233" s="374"/>
      <c r="AF233" s="373"/>
      <c r="AG233" s="373"/>
      <c r="AH233" s="373"/>
      <c r="AI233" s="374"/>
      <c r="AK233" s="373"/>
      <c r="AL233" s="373"/>
      <c r="AM233" s="373"/>
      <c r="AN233" s="374"/>
      <c r="AP233" s="373"/>
      <c r="AQ233" s="373"/>
      <c r="AR233" s="373"/>
      <c r="AS233" s="374"/>
      <c r="AU233" s="373"/>
      <c r="AV233" s="373"/>
      <c r="AW233" s="373"/>
      <c r="AX233" s="374"/>
      <c r="AZ233" s="373"/>
      <c r="BA233" s="373"/>
      <c r="BB233" s="373"/>
      <c r="BC233" s="374"/>
      <c r="BE233" s="373"/>
      <c r="BF233" s="373"/>
      <c r="BG233" s="373"/>
      <c r="BH233" s="374"/>
      <c r="BJ233" s="373"/>
      <c r="BK233" s="373"/>
      <c r="BL233" s="373"/>
      <c r="BM233" s="374"/>
      <c r="BO233" s="373"/>
      <c r="BP233" s="373"/>
      <c r="BQ233" s="373"/>
      <c r="BR233" s="374"/>
      <c r="BT233" s="373"/>
      <c r="BU233" s="373"/>
      <c r="BV233" s="373"/>
      <c r="BW233" s="9"/>
      <c r="BZ233" s="10"/>
      <c r="CA233" s="10"/>
    </row>
    <row r="234" spans="4:79" ht="12.75" customHeight="1" x14ac:dyDescent="0.2">
      <c r="D234" s="9" t="s">
        <v>352</v>
      </c>
      <c r="G234" s="373">
        <f>SUM(G235:G237)</f>
        <v>0</v>
      </c>
      <c r="H234" s="373"/>
      <c r="I234" s="373"/>
      <c r="J234" s="374"/>
      <c r="K234" s="373"/>
      <c r="L234" s="373">
        <f>SUM(L235:L237)</f>
        <v>0</v>
      </c>
      <c r="M234" s="373"/>
      <c r="N234" s="373"/>
      <c r="O234" s="374"/>
      <c r="P234" s="373"/>
      <c r="Q234" s="373">
        <f>SUM(Q235:Q237)</f>
        <v>0</v>
      </c>
      <c r="R234" s="373"/>
      <c r="S234" s="373"/>
      <c r="T234" s="374"/>
      <c r="U234" s="373"/>
      <c r="V234" s="373">
        <f>SUM(V235:V237)</f>
        <v>0</v>
      </c>
      <c r="W234" s="373"/>
      <c r="X234" s="373"/>
      <c r="Y234" s="374"/>
      <c r="Z234" s="373"/>
      <c r="AA234" s="373">
        <f>SUM(AA235:AA237)</f>
        <v>0</v>
      </c>
      <c r="AB234" s="373"/>
      <c r="AC234" s="373"/>
      <c r="AD234" s="374"/>
      <c r="AE234" s="373"/>
      <c r="AF234" s="373">
        <f>SUM(AF235:AF237)</f>
        <v>0</v>
      </c>
      <c r="AG234" s="373"/>
      <c r="AH234" s="373"/>
      <c r="AI234" s="374"/>
      <c r="AJ234" s="373"/>
      <c r="AK234" s="373">
        <f>SUM(AK235:AK237)</f>
        <v>0</v>
      </c>
      <c r="AL234" s="373"/>
      <c r="AM234" s="373"/>
      <c r="AN234" s="374"/>
      <c r="AO234" s="373"/>
      <c r="AP234" s="373">
        <f>SUM(AP235:AP237)</f>
        <v>0</v>
      </c>
      <c r="AQ234" s="373"/>
      <c r="AR234" s="373"/>
      <c r="AS234" s="374"/>
      <c r="AT234" s="373"/>
      <c r="AU234" s="373">
        <f>SUM(AU235:AU237)</f>
        <v>0</v>
      </c>
      <c r="AV234" s="373"/>
      <c r="AW234" s="373"/>
      <c r="AX234" s="374"/>
      <c r="AY234" s="373"/>
      <c r="AZ234" s="373">
        <f>SUM(AZ235:AZ237)</f>
        <v>0</v>
      </c>
      <c r="BA234" s="373"/>
      <c r="BB234" s="373"/>
      <c r="BC234" s="374"/>
      <c r="BD234" s="373"/>
      <c r="BE234" s="373">
        <f>SUM(BE235:BE237)</f>
        <v>0</v>
      </c>
      <c r="BF234" s="373"/>
      <c r="BG234" s="373"/>
      <c r="BH234" s="374"/>
      <c r="BI234" s="373"/>
      <c r="BJ234" s="373">
        <f>SUM(BJ235:BJ237)</f>
        <v>0</v>
      </c>
      <c r="BK234" s="373"/>
      <c r="BL234" s="373"/>
      <c r="BM234" s="374"/>
      <c r="BN234" s="373"/>
      <c r="BO234" s="373">
        <f>SUM(BO235:BO237)</f>
        <v>0</v>
      </c>
      <c r="BP234" s="373"/>
      <c r="BQ234" s="373"/>
      <c r="BR234" s="374"/>
      <c r="BS234" s="373"/>
      <c r="BT234" s="373">
        <f>SUM(BT235:BT237)</f>
        <v>0</v>
      </c>
      <c r="BU234" s="373"/>
      <c r="BV234" s="373"/>
      <c r="BW234" s="9"/>
      <c r="BZ234" s="10"/>
      <c r="CA234" s="10"/>
    </row>
    <row r="235" spans="4:79" ht="12.75" customHeight="1" x14ac:dyDescent="0.2">
      <c r="D235" s="9" t="s">
        <v>343</v>
      </c>
      <c r="F235" s="309"/>
      <c r="G235" s="371">
        <v>0</v>
      </c>
      <c r="H235" s="372"/>
      <c r="I235" s="373"/>
      <c r="J235" s="374"/>
      <c r="K235" s="375"/>
      <c r="L235" s="371">
        <v>0</v>
      </c>
      <c r="M235" s="372"/>
      <c r="N235" s="373"/>
      <c r="O235" s="374"/>
      <c r="P235" s="375"/>
      <c r="Q235" s="371">
        <v>0</v>
      </c>
      <c r="R235" s="372"/>
      <c r="S235" s="373"/>
      <c r="T235" s="374"/>
      <c r="U235" s="375"/>
      <c r="V235" s="371">
        <v>0</v>
      </c>
      <c r="W235" s="372"/>
      <c r="X235" s="373"/>
      <c r="Y235" s="374"/>
      <c r="Z235" s="375"/>
      <c r="AA235" s="371">
        <v>0</v>
      </c>
      <c r="AB235" s="372"/>
      <c r="AC235" s="373"/>
      <c r="AD235" s="374"/>
      <c r="AE235" s="375"/>
      <c r="AF235" s="371">
        <v>0</v>
      </c>
      <c r="AG235" s="372"/>
      <c r="AH235" s="373"/>
      <c r="AI235" s="374"/>
      <c r="AJ235" s="375"/>
      <c r="AK235" s="371">
        <v>0</v>
      </c>
      <c r="AL235" s="372"/>
      <c r="AM235" s="373"/>
      <c r="AN235" s="374"/>
      <c r="AO235" s="375"/>
      <c r="AP235" s="371">
        <v>0</v>
      </c>
      <c r="AQ235" s="372"/>
      <c r="AR235" s="373"/>
      <c r="AS235" s="374"/>
      <c r="AT235" s="375"/>
      <c r="AU235" s="371">
        <v>0</v>
      </c>
      <c r="AV235" s="372"/>
      <c r="AW235" s="373"/>
      <c r="AX235" s="374"/>
      <c r="AY235" s="375"/>
      <c r="AZ235" s="371">
        <v>0</v>
      </c>
      <c r="BA235" s="372"/>
      <c r="BB235" s="373"/>
      <c r="BC235" s="374"/>
      <c r="BD235" s="375"/>
      <c r="BE235" s="371">
        <v>0</v>
      </c>
      <c r="BF235" s="372"/>
      <c r="BG235" s="373"/>
      <c r="BH235" s="374"/>
      <c r="BI235" s="375"/>
      <c r="BJ235" s="371">
        <v>0</v>
      </c>
      <c r="BK235" s="372"/>
      <c r="BL235" s="373"/>
      <c r="BM235" s="374"/>
      <c r="BN235" s="375"/>
      <c r="BO235" s="371">
        <v>0</v>
      </c>
      <c r="BP235" s="372"/>
      <c r="BQ235" s="373"/>
      <c r="BR235" s="374"/>
      <c r="BS235" s="375"/>
      <c r="BT235" s="371">
        <f>SUM(L235:BO235)</f>
        <v>0</v>
      </c>
      <c r="BU235" s="372"/>
      <c r="BV235" s="373"/>
      <c r="BW235" s="9"/>
      <c r="BZ235" s="10"/>
      <c r="CA235" s="10"/>
    </row>
    <row r="236" spans="4:79" ht="12.75" customHeight="1" x14ac:dyDescent="0.2">
      <c r="D236" s="9" t="s">
        <v>345</v>
      </c>
      <c r="F236" s="156"/>
      <c r="G236" s="373">
        <v>0</v>
      </c>
      <c r="H236" s="377"/>
      <c r="I236" s="373"/>
      <c r="J236" s="374"/>
      <c r="K236" s="374"/>
      <c r="L236" s="373">
        <v>0</v>
      </c>
      <c r="M236" s="377"/>
      <c r="N236" s="373"/>
      <c r="O236" s="374"/>
      <c r="P236" s="374"/>
      <c r="Q236" s="373">
        <v>0</v>
      </c>
      <c r="R236" s="377"/>
      <c r="S236" s="373"/>
      <c r="T236" s="374"/>
      <c r="U236" s="374"/>
      <c r="V236" s="373">
        <v>0</v>
      </c>
      <c r="W236" s="377"/>
      <c r="X236" s="373"/>
      <c r="Y236" s="374"/>
      <c r="Z236" s="374"/>
      <c r="AA236" s="373">
        <v>0</v>
      </c>
      <c r="AB236" s="377"/>
      <c r="AC236" s="373"/>
      <c r="AD236" s="374"/>
      <c r="AE236" s="374"/>
      <c r="AF236" s="373">
        <v>0</v>
      </c>
      <c r="AG236" s="377"/>
      <c r="AH236" s="373"/>
      <c r="AI236" s="374"/>
      <c r="AJ236" s="374"/>
      <c r="AK236" s="373">
        <v>0</v>
      </c>
      <c r="AL236" s="377"/>
      <c r="AM236" s="373"/>
      <c r="AN236" s="374"/>
      <c r="AO236" s="374"/>
      <c r="AP236" s="373">
        <v>0</v>
      </c>
      <c r="AQ236" s="377"/>
      <c r="AR236" s="373"/>
      <c r="AS236" s="374"/>
      <c r="AT236" s="374"/>
      <c r="AU236" s="373">
        <v>0</v>
      </c>
      <c r="AV236" s="377"/>
      <c r="AW236" s="373"/>
      <c r="AX236" s="374"/>
      <c r="AY236" s="374"/>
      <c r="AZ236" s="373">
        <v>0</v>
      </c>
      <c r="BA236" s="377"/>
      <c r="BB236" s="373"/>
      <c r="BC236" s="374"/>
      <c r="BD236" s="374"/>
      <c r="BE236" s="373">
        <v>0</v>
      </c>
      <c r="BF236" s="377"/>
      <c r="BG236" s="373"/>
      <c r="BH236" s="374"/>
      <c r="BI236" s="374"/>
      <c r="BJ236" s="373">
        <v>0</v>
      </c>
      <c r="BK236" s="377"/>
      <c r="BL236" s="373"/>
      <c r="BM236" s="374"/>
      <c r="BN236" s="374"/>
      <c r="BO236" s="373">
        <v>0</v>
      </c>
      <c r="BP236" s="377"/>
      <c r="BQ236" s="373"/>
      <c r="BR236" s="374"/>
      <c r="BS236" s="374"/>
      <c r="BT236" s="373">
        <f>SUM(L236:BO236)</f>
        <v>0</v>
      </c>
      <c r="BU236" s="377"/>
      <c r="BV236" s="373"/>
      <c r="BW236" s="9"/>
      <c r="BZ236" s="10"/>
      <c r="CA236" s="10"/>
    </row>
    <row r="237" spans="4:79" ht="12.75" customHeight="1" x14ac:dyDescent="0.2">
      <c r="D237" s="9" t="s">
        <v>353</v>
      </c>
      <c r="F237" s="320"/>
      <c r="G237" s="385">
        <v>0</v>
      </c>
      <c r="H237" s="386"/>
      <c r="I237" s="373"/>
      <c r="J237" s="374"/>
      <c r="K237" s="387"/>
      <c r="L237" s="385">
        <v>0</v>
      </c>
      <c r="M237" s="386"/>
      <c r="N237" s="373"/>
      <c r="O237" s="374"/>
      <c r="P237" s="387"/>
      <c r="Q237" s="385">
        <v>0</v>
      </c>
      <c r="R237" s="386"/>
      <c r="S237" s="373"/>
      <c r="T237" s="374"/>
      <c r="U237" s="387"/>
      <c r="V237" s="385">
        <v>0</v>
      </c>
      <c r="W237" s="386"/>
      <c r="X237" s="373"/>
      <c r="Y237" s="374"/>
      <c r="Z237" s="387"/>
      <c r="AA237" s="385">
        <v>0</v>
      </c>
      <c r="AB237" s="386"/>
      <c r="AC237" s="373"/>
      <c r="AD237" s="374"/>
      <c r="AE237" s="387"/>
      <c r="AF237" s="385">
        <v>0</v>
      </c>
      <c r="AG237" s="386"/>
      <c r="AH237" s="373"/>
      <c r="AI237" s="374"/>
      <c r="AJ237" s="387"/>
      <c r="AK237" s="385">
        <v>0</v>
      </c>
      <c r="AL237" s="386"/>
      <c r="AM237" s="373"/>
      <c r="AN237" s="374"/>
      <c r="AO237" s="387"/>
      <c r="AP237" s="385">
        <v>0</v>
      </c>
      <c r="AQ237" s="386"/>
      <c r="AR237" s="373"/>
      <c r="AS237" s="374"/>
      <c r="AT237" s="387"/>
      <c r="AU237" s="385">
        <v>0</v>
      </c>
      <c r="AV237" s="386"/>
      <c r="AW237" s="373"/>
      <c r="AX237" s="374"/>
      <c r="AY237" s="387"/>
      <c r="AZ237" s="385">
        <v>0</v>
      </c>
      <c r="BA237" s="386"/>
      <c r="BB237" s="373"/>
      <c r="BC237" s="374"/>
      <c r="BD237" s="387"/>
      <c r="BE237" s="385">
        <v>0</v>
      </c>
      <c r="BF237" s="386"/>
      <c r="BG237" s="373"/>
      <c r="BH237" s="374"/>
      <c r="BI237" s="387"/>
      <c r="BJ237" s="385">
        <v>0</v>
      </c>
      <c r="BK237" s="386"/>
      <c r="BL237" s="373"/>
      <c r="BM237" s="374"/>
      <c r="BN237" s="387"/>
      <c r="BO237" s="385">
        <v>0</v>
      </c>
      <c r="BP237" s="386"/>
      <c r="BQ237" s="373"/>
      <c r="BR237" s="374"/>
      <c r="BS237" s="387"/>
      <c r="BT237" s="385">
        <f>SUM(L237:BO237)</f>
        <v>0</v>
      </c>
      <c r="BU237" s="386"/>
      <c r="BV237" s="373"/>
      <c r="BW237" s="9"/>
      <c r="BZ237" s="10"/>
      <c r="CA237" s="10"/>
    </row>
    <row r="238" spans="4:79" ht="12.75" hidden="1" customHeight="1" x14ac:dyDescent="0.2">
      <c r="D238" s="9"/>
      <c r="E238" s="397"/>
      <c r="G238" s="373"/>
      <c r="H238" s="373"/>
      <c r="I238" s="373"/>
      <c r="J238" s="374"/>
      <c r="L238" s="373"/>
      <c r="M238" s="373"/>
      <c r="N238" s="373"/>
      <c r="O238" s="374"/>
      <c r="Q238" s="373"/>
      <c r="R238" s="373"/>
      <c r="S238" s="373"/>
      <c r="T238" s="374"/>
      <c r="V238" s="373"/>
      <c r="W238" s="373"/>
      <c r="X238" s="373"/>
      <c r="Y238" s="374"/>
      <c r="AA238" s="373"/>
      <c r="AB238" s="373"/>
      <c r="AC238" s="373"/>
      <c r="AD238" s="374"/>
      <c r="AF238" s="373"/>
      <c r="AG238" s="373"/>
      <c r="AH238" s="373"/>
      <c r="AI238" s="374"/>
      <c r="AK238" s="373"/>
      <c r="AL238" s="373"/>
      <c r="AM238" s="373"/>
      <c r="AN238" s="374"/>
      <c r="AP238" s="373"/>
      <c r="AQ238" s="373"/>
      <c r="AR238" s="373"/>
      <c r="AS238" s="374"/>
      <c r="AU238" s="373"/>
      <c r="AV238" s="373"/>
      <c r="AW238" s="373"/>
      <c r="AX238" s="374"/>
      <c r="AZ238" s="373"/>
      <c r="BA238" s="373"/>
      <c r="BB238" s="373"/>
      <c r="BC238" s="374"/>
      <c r="BE238" s="373"/>
      <c r="BF238" s="373"/>
      <c r="BG238" s="373"/>
      <c r="BH238" s="374"/>
      <c r="BJ238" s="373"/>
      <c r="BK238" s="373"/>
      <c r="BL238" s="373"/>
      <c r="BM238" s="374"/>
      <c r="BO238" s="373"/>
      <c r="BP238" s="373"/>
      <c r="BQ238" s="373"/>
      <c r="BR238" s="374"/>
      <c r="BT238" s="373"/>
      <c r="BU238" s="373"/>
      <c r="BV238" s="373"/>
      <c r="BW238" s="9"/>
      <c r="BZ238" s="10"/>
      <c r="CA238" s="10"/>
    </row>
    <row r="239" spans="4:79" ht="12.75" hidden="1" customHeight="1" x14ac:dyDescent="0.2">
      <c r="D239" s="9" t="s">
        <v>369</v>
      </c>
      <c r="G239" s="373">
        <f>SUM(G240:G242)</f>
        <v>0</v>
      </c>
      <c r="H239" s="373"/>
      <c r="I239" s="373"/>
      <c r="J239" s="374"/>
      <c r="K239" s="373"/>
      <c r="L239" s="373">
        <f>SUM(L240:L242)</f>
        <v>0</v>
      </c>
      <c r="M239" s="373"/>
      <c r="N239" s="373"/>
      <c r="O239" s="374"/>
      <c r="P239" s="373"/>
      <c r="Q239" s="373">
        <f>SUM(Q240:Q242)</f>
        <v>0</v>
      </c>
      <c r="R239" s="373"/>
      <c r="S239" s="373"/>
      <c r="T239" s="374"/>
      <c r="U239" s="373"/>
      <c r="V239" s="373">
        <f>SUM(V240:V242)</f>
        <v>0</v>
      </c>
      <c r="W239" s="373"/>
      <c r="X239" s="373"/>
      <c r="Y239" s="374"/>
      <c r="Z239" s="373"/>
      <c r="AA239" s="373">
        <f>SUM(AA240:AA242)</f>
        <v>0</v>
      </c>
      <c r="AB239" s="373"/>
      <c r="AC239" s="373"/>
      <c r="AD239" s="374"/>
      <c r="AE239" s="373"/>
      <c r="AF239" s="373">
        <f>SUM(AF240:AF242)</f>
        <v>0</v>
      </c>
      <c r="AG239" s="373"/>
      <c r="AH239" s="373"/>
      <c r="AI239" s="374"/>
      <c r="AJ239" s="373"/>
      <c r="AK239" s="373">
        <f>SUM(AK240:AK242)</f>
        <v>0</v>
      </c>
      <c r="AL239" s="373"/>
      <c r="AM239" s="373"/>
      <c r="AN239" s="374"/>
      <c r="AO239" s="373"/>
      <c r="AP239" s="373">
        <f>SUM(AP240:AP242)</f>
        <v>0</v>
      </c>
      <c r="AQ239" s="373"/>
      <c r="AR239" s="373"/>
      <c r="AS239" s="374"/>
      <c r="AT239" s="373"/>
      <c r="AU239" s="373">
        <f>SUM(AU240:AU242)</f>
        <v>0</v>
      </c>
      <c r="AV239" s="373"/>
      <c r="AW239" s="373"/>
      <c r="AX239" s="374"/>
      <c r="AY239" s="373"/>
      <c r="AZ239" s="373">
        <f>SUM(AZ240:AZ242)</f>
        <v>0</v>
      </c>
      <c r="BA239" s="373"/>
      <c r="BB239" s="373"/>
      <c r="BC239" s="374"/>
      <c r="BD239" s="373"/>
      <c r="BE239" s="373">
        <f>SUM(BE240:BE242)</f>
        <v>0</v>
      </c>
      <c r="BF239" s="373"/>
      <c r="BG239" s="373"/>
      <c r="BH239" s="374"/>
      <c r="BI239" s="373"/>
      <c r="BJ239" s="373">
        <f>SUM(BJ240:BJ242)</f>
        <v>0</v>
      </c>
      <c r="BK239" s="373"/>
      <c r="BL239" s="373"/>
      <c r="BM239" s="374"/>
      <c r="BN239" s="373"/>
      <c r="BO239" s="373">
        <f>SUM(BO240:BO242)</f>
        <v>0</v>
      </c>
      <c r="BP239" s="373"/>
      <c r="BQ239" s="373"/>
      <c r="BR239" s="374"/>
      <c r="BS239" s="373"/>
      <c r="BT239" s="373">
        <f>SUM(BT240:BT242)</f>
        <v>0</v>
      </c>
      <c r="BU239" s="373"/>
      <c r="BV239" s="373"/>
      <c r="BW239" s="9"/>
      <c r="BZ239" s="10"/>
      <c r="CA239" s="10"/>
    </row>
    <row r="240" spans="4:79" ht="12.75" hidden="1" customHeight="1" x14ac:dyDescent="0.2">
      <c r="D240" s="9" t="s">
        <v>343</v>
      </c>
      <c r="F240" s="309"/>
      <c r="G240" s="371">
        <v>0</v>
      </c>
      <c r="H240" s="372"/>
      <c r="I240" s="373"/>
      <c r="J240" s="374"/>
      <c r="K240" s="375"/>
      <c r="L240" s="371">
        <v>0</v>
      </c>
      <c r="M240" s="372"/>
      <c r="N240" s="373"/>
      <c r="O240" s="374"/>
      <c r="P240" s="375"/>
      <c r="Q240" s="371">
        <v>0</v>
      </c>
      <c r="R240" s="372"/>
      <c r="S240" s="373"/>
      <c r="T240" s="374"/>
      <c r="U240" s="375"/>
      <c r="V240" s="371">
        <v>0</v>
      </c>
      <c r="W240" s="372"/>
      <c r="X240" s="373"/>
      <c r="Y240" s="374"/>
      <c r="Z240" s="375"/>
      <c r="AA240" s="371">
        <v>0</v>
      </c>
      <c r="AB240" s="372"/>
      <c r="AC240" s="373"/>
      <c r="AD240" s="374"/>
      <c r="AE240" s="375"/>
      <c r="AF240" s="371">
        <v>0</v>
      </c>
      <c r="AG240" s="372"/>
      <c r="AH240" s="373"/>
      <c r="AI240" s="374"/>
      <c r="AJ240" s="375"/>
      <c r="AK240" s="371">
        <v>0</v>
      </c>
      <c r="AL240" s="372"/>
      <c r="AM240" s="373"/>
      <c r="AN240" s="374"/>
      <c r="AO240" s="375"/>
      <c r="AP240" s="371">
        <v>0</v>
      </c>
      <c r="AQ240" s="372"/>
      <c r="AR240" s="373"/>
      <c r="AS240" s="374"/>
      <c r="AT240" s="375"/>
      <c r="AU240" s="371">
        <v>0</v>
      </c>
      <c r="AV240" s="372"/>
      <c r="AW240" s="373"/>
      <c r="AX240" s="374"/>
      <c r="AY240" s="375"/>
      <c r="AZ240" s="371">
        <v>0</v>
      </c>
      <c r="BA240" s="372"/>
      <c r="BB240" s="373"/>
      <c r="BC240" s="374"/>
      <c r="BD240" s="375"/>
      <c r="BE240" s="371">
        <v>0</v>
      </c>
      <c r="BF240" s="372"/>
      <c r="BG240" s="373"/>
      <c r="BH240" s="374"/>
      <c r="BI240" s="375"/>
      <c r="BJ240" s="371">
        <v>0</v>
      </c>
      <c r="BK240" s="372"/>
      <c r="BL240" s="373"/>
      <c r="BM240" s="374"/>
      <c r="BN240" s="375"/>
      <c r="BO240" s="371">
        <v>0</v>
      </c>
      <c r="BP240" s="372"/>
      <c r="BQ240" s="373"/>
      <c r="BR240" s="374"/>
      <c r="BS240" s="375"/>
      <c r="BT240" s="371">
        <f>SUM(L240:BO240)</f>
        <v>0</v>
      </c>
      <c r="BU240" s="372"/>
      <c r="BV240" s="373"/>
      <c r="BW240" s="9"/>
      <c r="BZ240" s="10"/>
      <c r="CA240" s="10"/>
    </row>
    <row r="241" spans="4:79" ht="12.75" hidden="1" customHeight="1" x14ac:dyDescent="0.2">
      <c r="D241" s="9" t="s">
        <v>345</v>
      </c>
      <c r="F241" s="156"/>
      <c r="G241" s="373">
        <v>0</v>
      </c>
      <c r="H241" s="377"/>
      <c r="I241" s="373"/>
      <c r="J241" s="374"/>
      <c r="K241" s="374"/>
      <c r="L241" s="373">
        <v>0</v>
      </c>
      <c r="M241" s="377"/>
      <c r="N241" s="373"/>
      <c r="O241" s="374"/>
      <c r="P241" s="374"/>
      <c r="Q241" s="373">
        <v>0</v>
      </c>
      <c r="R241" s="377"/>
      <c r="S241" s="373"/>
      <c r="T241" s="374"/>
      <c r="U241" s="374"/>
      <c r="V241" s="373">
        <v>0</v>
      </c>
      <c r="W241" s="377"/>
      <c r="X241" s="373"/>
      <c r="Y241" s="374"/>
      <c r="Z241" s="374"/>
      <c r="AA241" s="373">
        <v>0</v>
      </c>
      <c r="AB241" s="377"/>
      <c r="AC241" s="373"/>
      <c r="AD241" s="374"/>
      <c r="AE241" s="374"/>
      <c r="AF241" s="373">
        <v>0</v>
      </c>
      <c r="AG241" s="377"/>
      <c r="AH241" s="373"/>
      <c r="AI241" s="374"/>
      <c r="AJ241" s="374"/>
      <c r="AK241" s="373">
        <v>0</v>
      </c>
      <c r="AL241" s="377"/>
      <c r="AM241" s="373"/>
      <c r="AN241" s="374"/>
      <c r="AO241" s="374"/>
      <c r="AP241" s="373">
        <v>0</v>
      </c>
      <c r="AQ241" s="377"/>
      <c r="AR241" s="373"/>
      <c r="AS241" s="374"/>
      <c r="AT241" s="374"/>
      <c r="AU241" s="373">
        <v>0</v>
      </c>
      <c r="AV241" s="377"/>
      <c r="AW241" s="373"/>
      <c r="AX241" s="374"/>
      <c r="AY241" s="374"/>
      <c r="AZ241" s="373">
        <v>0</v>
      </c>
      <c r="BA241" s="377"/>
      <c r="BB241" s="373"/>
      <c r="BC241" s="374"/>
      <c r="BD241" s="374"/>
      <c r="BE241" s="373">
        <v>0</v>
      </c>
      <c r="BF241" s="377"/>
      <c r="BG241" s="373"/>
      <c r="BH241" s="374"/>
      <c r="BI241" s="374"/>
      <c r="BJ241" s="373">
        <v>0</v>
      </c>
      <c r="BK241" s="377"/>
      <c r="BL241" s="373"/>
      <c r="BM241" s="374"/>
      <c r="BN241" s="374"/>
      <c r="BO241" s="373">
        <v>0</v>
      </c>
      <c r="BP241" s="377"/>
      <c r="BQ241" s="373"/>
      <c r="BR241" s="374"/>
      <c r="BS241" s="374"/>
      <c r="BT241" s="373">
        <f>SUM(L241:BO241)</f>
        <v>0</v>
      </c>
      <c r="BU241" s="377"/>
      <c r="BV241" s="373"/>
      <c r="BW241" s="9"/>
      <c r="BZ241" s="10"/>
      <c r="CA241" s="10"/>
    </row>
    <row r="242" spans="4:79" ht="12.75" hidden="1" customHeight="1" x14ac:dyDescent="0.2">
      <c r="D242" s="9" t="s">
        <v>353</v>
      </c>
      <c r="F242" s="320"/>
      <c r="G242" s="385">
        <v>0</v>
      </c>
      <c r="H242" s="386"/>
      <c r="I242" s="373"/>
      <c r="J242" s="374"/>
      <c r="K242" s="387"/>
      <c r="L242" s="385">
        <v>0</v>
      </c>
      <c r="M242" s="386"/>
      <c r="N242" s="373"/>
      <c r="O242" s="374"/>
      <c r="P242" s="387"/>
      <c r="Q242" s="385">
        <v>0</v>
      </c>
      <c r="R242" s="386"/>
      <c r="S242" s="373"/>
      <c r="T242" s="374"/>
      <c r="U242" s="387"/>
      <c r="V242" s="385">
        <v>0</v>
      </c>
      <c r="W242" s="386"/>
      <c r="X242" s="373"/>
      <c r="Y242" s="374"/>
      <c r="Z242" s="387"/>
      <c r="AA242" s="385">
        <v>0</v>
      </c>
      <c r="AB242" s="386"/>
      <c r="AC242" s="373"/>
      <c r="AD242" s="374"/>
      <c r="AE242" s="387"/>
      <c r="AF242" s="385">
        <v>0</v>
      </c>
      <c r="AG242" s="386"/>
      <c r="AH242" s="373"/>
      <c r="AI242" s="374"/>
      <c r="AJ242" s="387"/>
      <c r="AK242" s="385">
        <v>0</v>
      </c>
      <c r="AL242" s="386"/>
      <c r="AM242" s="373"/>
      <c r="AN242" s="374"/>
      <c r="AO242" s="387"/>
      <c r="AP242" s="385">
        <v>0</v>
      </c>
      <c r="AQ242" s="386"/>
      <c r="AR242" s="373"/>
      <c r="AS242" s="374"/>
      <c r="AT242" s="387"/>
      <c r="AU242" s="385">
        <v>0</v>
      </c>
      <c r="AV242" s="386"/>
      <c r="AW242" s="373"/>
      <c r="AX242" s="374"/>
      <c r="AY242" s="387"/>
      <c r="AZ242" s="385">
        <v>0</v>
      </c>
      <c r="BA242" s="386"/>
      <c r="BB242" s="373"/>
      <c r="BC242" s="374"/>
      <c r="BD242" s="387"/>
      <c r="BE242" s="385">
        <v>0</v>
      </c>
      <c r="BF242" s="386"/>
      <c r="BG242" s="373"/>
      <c r="BH242" s="374"/>
      <c r="BI242" s="387"/>
      <c r="BJ242" s="385">
        <v>0</v>
      </c>
      <c r="BK242" s="386"/>
      <c r="BL242" s="373"/>
      <c r="BM242" s="374"/>
      <c r="BN242" s="387"/>
      <c r="BO242" s="385">
        <v>0</v>
      </c>
      <c r="BP242" s="386"/>
      <c r="BQ242" s="373"/>
      <c r="BR242" s="374"/>
      <c r="BS242" s="387"/>
      <c r="BT242" s="385">
        <f>SUM(L242:BO242)</f>
        <v>0</v>
      </c>
      <c r="BU242" s="386"/>
      <c r="BV242" s="373"/>
      <c r="BW242" s="9"/>
      <c r="BZ242" s="10"/>
      <c r="CA242" s="10"/>
    </row>
    <row r="243" spans="4:79" ht="12.75" customHeight="1" x14ac:dyDescent="0.2">
      <c r="D243" s="9"/>
      <c r="E243" s="397"/>
      <c r="F243" s="149"/>
      <c r="G243" s="373"/>
      <c r="H243" s="373"/>
      <c r="I243" s="373"/>
      <c r="J243" s="374"/>
      <c r="K243" s="149"/>
      <c r="L243" s="373"/>
      <c r="M243" s="373"/>
      <c r="N243" s="373"/>
      <c r="O243" s="374"/>
      <c r="P243" s="149"/>
      <c r="Q243" s="373"/>
      <c r="R243" s="373"/>
      <c r="S243" s="373"/>
      <c r="T243" s="374"/>
      <c r="U243" s="149"/>
      <c r="V243" s="373"/>
      <c r="W243" s="373"/>
      <c r="X243" s="373"/>
      <c r="Y243" s="374"/>
      <c r="Z243" s="149"/>
      <c r="AA243" s="373"/>
      <c r="AB243" s="373"/>
      <c r="AC243" s="373"/>
      <c r="AD243" s="374"/>
      <c r="AE243" s="149"/>
      <c r="AF243" s="373"/>
      <c r="AG243" s="373"/>
      <c r="AH243" s="373"/>
      <c r="AI243" s="374"/>
      <c r="AJ243" s="149"/>
      <c r="AK243" s="373"/>
      <c r="AL243" s="373"/>
      <c r="AM243" s="373"/>
      <c r="AN243" s="374"/>
      <c r="AO243" s="149"/>
      <c r="AP243" s="373"/>
      <c r="AQ243" s="373"/>
      <c r="AR243" s="373"/>
      <c r="AS243" s="374"/>
      <c r="AT243" s="149"/>
      <c r="AU243" s="373"/>
      <c r="AV243" s="373"/>
      <c r="AW243" s="373"/>
      <c r="AX243" s="374"/>
      <c r="AY243" s="149"/>
      <c r="AZ243" s="373"/>
      <c r="BA243" s="373"/>
      <c r="BB243" s="373"/>
      <c r="BC243" s="374"/>
      <c r="BD243" s="149"/>
      <c r="BE243" s="373"/>
      <c r="BF243" s="373"/>
      <c r="BG243" s="373"/>
      <c r="BH243" s="374"/>
      <c r="BI243" s="149"/>
      <c r="BJ243" s="373"/>
      <c r="BK243" s="373"/>
      <c r="BL243" s="373"/>
      <c r="BM243" s="374"/>
      <c r="BN243" s="149"/>
      <c r="BO243" s="373"/>
      <c r="BP243" s="373"/>
      <c r="BQ243" s="373"/>
      <c r="BR243" s="374"/>
      <c r="BS243" s="149"/>
      <c r="BT243" s="373"/>
      <c r="BU243" s="373"/>
      <c r="BV243" s="373"/>
      <c r="BW243" s="9"/>
      <c r="BZ243" s="10"/>
      <c r="CA243" s="10"/>
    </row>
    <row r="244" spans="4:79" ht="12.75" customHeight="1" x14ac:dyDescent="0.2">
      <c r="D244" s="9" t="s">
        <v>371</v>
      </c>
      <c r="E244" s="397"/>
      <c r="F244" s="149"/>
      <c r="G244" s="373">
        <v>0</v>
      </c>
      <c r="H244" s="373"/>
      <c r="I244" s="373"/>
      <c r="J244" s="374"/>
      <c r="K244" s="149"/>
      <c r="L244" s="373">
        <v>0</v>
      </c>
      <c r="M244" s="373"/>
      <c r="N244" s="373"/>
      <c r="O244" s="374"/>
      <c r="P244" s="149"/>
      <c r="Q244" s="373">
        <f>SUM(Q245:Q247)</f>
        <v>0</v>
      </c>
      <c r="R244" s="373"/>
      <c r="S244" s="373"/>
      <c r="T244" s="374"/>
      <c r="U244" s="149"/>
      <c r="V244" s="373">
        <f>SUM(V245:V247)</f>
        <v>0</v>
      </c>
      <c r="W244" s="373"/>
      <c r="X244" s="373"/>
      <c r="Y244" s="374"/>
      <c r="Z244" s="149"/>
      <c r="AA244" s="373">
        <v>0</v>
      </c>
      <c r="AB244" s="373"/>
      <c r="AC244" s="373"/>
      <c r="AD244" s="374"/>
      <c r="AE244" s="149"/>
      <c r="AF244" s="373">
        <f>SUM(AF245:AF247)</f>
        <v>0</v>
      </c>
      <c r="AG244" s="373"/>
      <c r="AH244" s="373"/>
      <c r="AI244" s="374"/>
      <c r="AJ244" s="149"/>
      <c r="AK244" s="373">
        <v>0</v>
      </c>
      <c r="AL244" s="373"/>
      <c r="AM244" s="373"/>
      <c r="AN244" s="374"/>
      <c r="AO244" s="149"/>
      <c r="AP244" s="373">
        <f>SUM(AP245:AP247)</f>
        <v>0</v>
      </c>
      <c r="AQ244" s="373"/>
      <c r="AR244" s="373"/>
      <c r="AS244" s="374"/>
      <c r="AT244" s="149"/>
      <c r="AU244" s="373">
        <v>0</v>
      </c>
      <c r="AV244" s="373"/>
      <c r="AW244" s="373"/>
      <c r="AX244" s="374"/>
      <c r="AY244" s="149"/>
      <c r="AZ244" s="373">
        <v>0</v>
      </c>
      <c r="BA244" s="373"/>
      <c r="BB244" s="373"/>
      <c r="BC244" s="374"/>
      <c r="BD244" s="149"/>
      <c r="BE244" s="373">
        <v>0</v>
      </c>
      <c r="BF244" s="373"/>
      <c r="BG244" s="373"/>
      <c r="BH244" s="374"/>
      <c r="BI244" s="149"/>
      <c r="BJ244" s="373">
        <v>0</v>
      </c>
      <c r="BK244" s="373"/>
      <c r="BL244" s="373"/>
      <c r="BM244" s="374"/>
      <c r="BN244" s="149"/>
      <c r="BO244" s="373">
        <v>0</v>
      </c>
      <c r="BP244" s="373"/>
      <c r="BQ244" s="373"/>
      <c r="BR244" s="374"/>
      <c r="BS244" s="149"/>
      <c r="BT244" s="373">
        <f>SUM(BT245:BT248)</f>
        <v>0</v>
      </c>
      <c r="BU244" s="373"/>
      <c r="BV244" s="373"/>
      <c r="BW244" s="9"/>
      <c r="BZ244" s="10"/>
      <c r="CA244" s="10"/>
    </row>
    <row r="245" spans="4:79" ht="12.75" customHeight="1" x14ac:dyDescent="0.2">
      <c r="D245" s="9" t="s">
        <v>343</v>
      </c>
      <c r="E245" s="397"/>
      <c r="F245" s="398"/>
      <c r="G245" s="371">
        <v>0</v>
      </c>
      <c r="H245" s="372"/>
      <c r="I245" s="373"/>
      <c r="J245" s="374"/>
      <c r="K245" s="398"/>
      <c r="L245" s="371">
        <v>0</v>
      </c>
      <c r="M245" s="372"/>
      <c r="N245" s="373"/>
      <c r="O245" s="374"/>
      <c r="P245" s="375"/>
      <c r="Q245" s="371">
        <v>0</v>
      </c>
      <c r="R245" s="372"/>
      <c r="S245" s="373"/>
      <c r="T245" s="374"/>
      <c r="U245" s="375"/>
      <c r="V245" s="371">
        <v>0</v>
      </c>
      <c r="W245" s="372"/>
      <c r="X245" s="373"/>
      <c r="Y245" s="374"/>
      <c r="Z245" s="375"/>
      <c r="AA245" s="371">
        <v>0</v>
      </c>
      <c r="AB245" s="372"/>
      <c r="AC245" s="373"/>
      <c r="AD245" s="374"/>
      <c r="AE245" s="375"/>
      <c r="AF245" s="371">
        <v>0</v>
      </c>
      <c r="AG245" s="372"/>
      <c r="AH245" s="373"/>
      <c r="AI245" s="374"/>
      <c r="AJ245" s="375"/>
      <c r="AK245" s="371">
        <v>0</v>
      </c>
      <c r="AL245" s="372"/>
      <c r="AM245" s="373"/>
      <c r="AN245" s="374"/>
      <c r="AO245" s="375"/>
      <c r="AP245" s="371">
        <v>0</v>
      </c>
      <c r="AQ245" s="372"/>
      <c r="AR245" s="373"/>
      <c r="AS245" s="374"/>
      <c r="AT245" s="375"/>
      <c r="AU245" s="371">
        <v>0</v>
      </c>
      <c r="AV245" s="372"/>
      <c r="AW245" s="373"/>
      <c r="AX245" s="374"/>
      <c r="AY245" s="375"/>
      <c r="AZ245" s="371">
        <v>0</v>
      </c>
      <c r="BA245" s="372"/>
      <c r="BB245" s="373"/>
      <c r="BC245" s="374"/>
      <c r="BD245" s="375"/>
      <c r="BE245" s="371">
        <v>0</v>
      </c>
      <c r="BF245" s="372"/>
      <c r="BG245" s="373"/>
      <c r="BH245" s="374"/>
      <c r="BI245" s="375"/>
      <c r="BJ245" s="371">
        <v>0</v>
      </c>
      <c r="BK245" s="372"/>
      <c r="BL245" s="373"/>
      <c r="BM245" s="374"/>
      <c r="BN245" s="375"/>
      <c r="BO245" s="371">
        <v>0</v>
      </c>
      <c r="BP245" s="372"/>
      <c r="BQ245" s="373"/>
      <c r="BR245" s="374"/>
      <c r="BS245" s="375"/>
      <c r="BT245" s="371">
        <f>SUM(L245:BO245)</f>
        <v>0</v>
      </c>
      <c r="BU245" s="372"/>
      <c r="BV245" s="373"/>
      <c r="BW245" s="9"/>
      <c r="BZ245" s="10"/>
      <c r="CA245" s="10"/>
    </row>
    <row r="246" spans="4:79" ht="12.75" customHeight="1" x14ac:dyDescent="0.2">
      <c r="D246" s="9" t="s">
        <v>345</v>
      </c>
      <c r="E246" s="397"/>
      <c r="F246" s="366"/>
      <c r="G246" s="373">
        <v>0</v>
      </c>
      <c r="H246" s="377"/>
      <c r="I246" s="373"/>
      <c r="J246" s="374"/>
      <c r="K246" s="366"/>
      <c r="L246" s="373">
        <v>0</v>
      </c>
      <c r="M246" s="377"/>
      <c r="N246" s="373"/>
      <c r="O246" s="374"/>
      <c r="P246" s="374"/>
      <c r="Q246" s="373">
        <v>0</v>
      </c>
      <c r="R246" s="377"/>
      <c r="S246" s="373"/>
      <c r="T246" s="374"/>
      <c r="U246" s="374"/>
      <c r="V246" s="373">
        <v>0</v>
      </c>
      <c r="W246" s="377"/>
      <c r="X246" s="373"/>
      <c r="Y246" s="374"/>
      <c r="Z246" s="374"/>
      <c r="AA246" s="373">
        <v>0</v>
      </c>
      <c r="AB246" s="377"/>
      <c r="AC246" s="373"/>
      <c r="AD246" s="374"/>
      <c r="AE246" s="374"/>
      <c r="AF246" s="373">
        <v>0</v>
      </c>
      <c r="AG246" s="377"/>
      <c r="AH246" s="373"/>
      <c r="AI246" s="374"/>
      <c r="AJ246" s="374"/>
      <c r="AK246" s="373">
        <v>0</v>
      </c>
      <c r="AL246" s="377"/>
      <c r="AM246" s="373"/>
      <c r="AN246" s="374"/>
      <c r="AO246" s="374"/>
      <c r="AP246" s="373">
        <v>0</v>
      </c>
      <c r="AQ246" s="377"/>
      <c r="AR246" s="373"/>
      <c r="AS246" s="374"/>
      <c r="AT246" s="374"/>
      <c r="AU246" s="373">
        <v>0</v>
      </c>
      <c r="AV246" s="377"/>
      <c r="AW246" s="373"/>
      <c r="AX246" s="374"/>
      <c r="AY246" s="374"/>
      <c r="AZ246" s="373">
        <v>0</v>
      </c>
      <c r="BA246" s="377"/>
      <c r="BB246" s="373"/>
      <c r="BC246" s="374"/>
      <c r="BD246" s="374"/>
      <c r="BE246" s="373">
        <v>0</v>
      </c>
      <c r="BF246" s="377"/>
      <c r="BG246" s="373"/>
      <c r="BH246" s="374"/>
      <c r="BI246" s="374"/>
      <c r="BJ246" s="373">
        <v>0</v>
      </c>
      <c r="BK246" s="377"/>
      <c r="BL246" s="373"/>
      <c r="BM246" s="374"/>
      <c r="BN246" s="374"/>
      <c r="BO246" s="373">
        <v>0</v>
      </c>
      <c r="BP246" s="377"/>
      <c r="BQ246" s="373"/>
      <c r="BR246" s="374"/>
      <c r="BS246" s="374"/>
      <c r="BT246" s="373">
        <f>SUM(L246:BO246)</f>
        <v>0</v>
      </c>
      <c r="BU246" s="377"/>
      <c r="BV246" s="373"/>
      <c r="BW246" s="9"/>
      <c r="BZ246" s="10"/>
      <c r="CA246" s="10"/>
    </row>
    <row r="247" spans="4:79" ht="12.75" customHeight="1" x14ac:dyDescent="0.2">
      <c r="D247" s="9" t="s">
        <v>353</v>
      </c>
      <c r="E247" s="397"/>
      <c r="F247" s="367"/>
      <c r="G247" s="385">
        <v>0</v>
      </c>
      <c r="H247" s="386"/>
      <c r="I247" s="373"/>
      <c r="J247" s="374"/>
      <c r="K247" s="367"/>
      <c r="L247" s="385">
        <v>0</v>
      </c>
      <c r="M247" s="386"/>
      <c r="N247" s="373"/>
      <c r="O247" s="374"/>
      <c r="P247" s="387"/>
      <c r="Q247" s="385">
        <v>0</v>
      </c>
      <c r="R247" s="386"/>
      <c r="S247" s="373"/>
      <c r="T247" s="374"/>
      <c r="U247" s="387"/>
      <c r="V247" s="385">
        <v>0</v>
      </c>
      <c r="W247" s="386"/>
      <c r="X247" s="373"/>
      <c r="Y247" s="374"/>
      <c r="Z247" s="387"/>
      <c r="AA247" s="385">
        <v>0</v>
      </c>
      <c r="AB247" s="386"/>
      <c r="AC247" s="373"/>
      <c r="AD247" s="374"/>
      <c r="AE247" s="387"/>
      <c r="AF247" s="385">
        <v>0</v>
      </c>
      <c r="AG247" s="386"/>
      <c r="AH247" s="373"/>
      <c r="AI247" s="374"/>
      <c r="AJ247" s="387"/>
      <c r="AK247" s="385">
        <v>0</v>
      </c>
      <c r="AL247" s="386"/>
      <c r="AM247" s="373"/>
      <c r="AN247" s="374"/>
      <c r="AO247" s="387"/>
      <c r="AP247" s="385">
        <v>0</v>
      </c>
      <c r="AQ247" s="386"/>
      <c r="AR247" s="373"/>
      <c r="AS247" s="374"/>
      <c r="AT247" s="387"/>
      <c r="AU247" s="385">
        <v>0</v>
      </c>
      <c r="AV247" s="386"/>
      <c r="AW247" s="373"/>
      <c r="AX247" s="374"/>
      <c r="AY247" s="387"/>
      <c r="AZ247" s="385">
        <v>0</v>
      </c>
      <c r="BA247" s="386"/>
      <c r="BB247" s="373"/>
      <c r="BC247" s="374"/>
      <c r="BD247" s="387"/>
      <c r="BE247" s="385">
        <v>0</v>
      </c>
      <c r="BF247" s="386"/>
      <c r="BG247" s="373"/>
      <c r="BH247" s="374"/>
      <c r="BI247" s="387"/>
      <c r="BJ247" s="385">
        <v>0</v>
      </c>
      <c r="BK247" s="386"/>
      <c r="BL247" s="373"/>
      <c r="BM247" s="374"/>
      <c r="BN247" s="387"/>
      <c r="BO247" s="385">
        <v>0</v>
      </c>
      <c r="BP247" s="386"/>
      <c r="BQ247" s="373"/>
      <c r="BR247" s="374"/>
      <c r="BS247" s="387"/>
      <c r="BT247" s="385">
        <f>SUM(L247:BO247)</f>
        <v>0</v>
      </c>
      <c r="BU247" s="386"/>
      <c r="BV247" s="373"/>
      <c r="BW247" s="9"/>
      <c r="BZ247" s="10"/>
      <c r="CA247" s="10"/>
    </row>
    <row r="248" spans="4:79" ht="12.75" hidden="1" customHeight="1" x14ac:dyDescent="0.2">
      <c r="D248" s="9" t="s">
        <v>347</v>
      </c>
      <c r="E248" s="397"/>
      <c r="F248" s="400"/>
      <c r="G248" s="385">
        <v>0</v>
      </c>
      <c r="H248" s="386"/>
      <c r="I248" s="373"/>
      <c r="J248" s="374"/>
      <c r="K248" s="400"/>
      <c r="L248" s="385">
        <v>0</v>
      </c>
      <c r="M248" s="386"/>
      <c r="N248" s="373"/>
      <c r="O248" s="374"/>
      <c r="P248" s="400"/>
      <c r="Q248" s="385">
        <v>0</v>
      </c>
      <c r="R248" s="386"/>
      <c r="S248" s="373"/>
      <c r="T248" s="374"/>
      <c r="U248" s="400"/>
      <c r="V248" s="385">
        <v>0</v>
      </c>
      <c r="W248" s="386"/>
      <c r="X248" s="373"/>
      <c r="Y248" s="374"/>
      <c r="Z248" s="400"/>
      <c r="AA248" s="385">
        <v>0</v>
      </c>
      <c r="AB248" s="386"/>
      <c r="AC248" s="373"/>
      <c r="AD248" s="374"/>
      <c r="AE248" s="400"/>
      <c r="AF248" s="385">
        <v>0</v>
      </c>
      <c r="AG248" s="386"/>
      <c r="AH248" s="373"/>
      <c r="AI248" s="374"/>
      <c r="AJ248" s="400"/>
      <c r="AK248" s="385">
        <v>0</v>
      </c>
      <c r="AL248" s="386"/>
      <c r="AM248" s="373"/>
      <c r="AN248" s="374"/>
      <c r="AO248" s="400"/>
      <c r="AP248" s="385">
        <v>0</v>
      </c>
      <c r="AQ248" s="386"/>
      <c r="AR248" s="373"/>
      <c r="AS248" s="374"/>
      <c r="AT248" s="400"/>
      <c r="AU248" s="385">
        <v>0</v>
      </c>
      <c r="AV248" s="386"/>
      <c r="AW248" s="373"/>
      <c r="AX248" s="374"/>
      <c r="AY248" s="400"/>
      <c r="AZ248" s="385">
        <v>0</v>
      </c>
      <c r="BA248" s="386"/>
      <c r="BB248" s="373"/>
      <c r="BC248" s="374"/>
      <c r="BD248" s="400"/>
      <c r="BE248" s="385">
        <v>0</v>
      </c>
      <c r="BF248" s="386"/>
      <c r="BG248" s="373"/>
      <c r="BH248" s="374"/>
      <c r="BI248" s="400"/>
      <c r="BJ248" s="385">
        <v>0</v>
      </c>
      <c r="BK248" s="386"/>
      <c r="BL248" s="373"/>
      <c r="BM248" s="374"/>
      <c r="BN248" s="400"/>
      <c r="BO248" s="385">
        <v>0</v>
      </c>
      <c r="BP248" s="386"/>
      <c r="BQ248" s="373"/>
      <c r="BR248" s="374"/>
      <c r="BS248" s="400"/>
      <c r="BT248" s="385">
        <f>SUM(L248:BO248)</f>
        <v>0</v>
      </c>
      <c r="BU248" s="386"/>
      <c r="BV248" s="373"/>
      <c r="BW248" s="9"/>
      <c r="BZ248" s="10"/>
      <c r="CA248" s="10"/>
    </row>
    <row r="249" spans="4:79" ht="12.75" customHeight="1" x14ac:dyDescent="0.2">
      <c r="D249" s="9"/>
      <c r="E249" s="397"/>
      <c r="F249" s="149"/>
      <c r="G249" s="373"/>
      <c r="H249" s="373"/>
      <c r="I249" s="373"/>
      <c r="J249" s="374"/>
      <c r="K249" s="149"/>
      <c r="L249" s="373"/>
      <c r="M249" s="373"/>
      <c r="N249" s="373"/>
      <c r="O249" s="374"/>
      <c r="P249" s="149"/>
      <c r="Q249" s="373"/>
      <c r="R249" s="373"/>
      <c r="S249" s="373"/>
      <c r="T249" s="374"/>
      <c r="U249" s="149"/>
      <c r="V249" s="373"/>
      <c r="W249" s="373"/>
      <c r="X249" s="373"/>
      <c r="Y249" s="374"/>
      <c r="Z249" s="149"/>
      <c r="AA249" s="373"/>
      <c r="AB249" s="373"/>
      <c r="AC249" s="373"/>
      <c r="AD249" s="374"/>
      <c r="AE249" s="149"/>
      <c r="AF249" s="373"/>
      <c r="AG249" s="373"/>
      <c r="AH249" s="373"/>
      <c r="AI249" s="374"/>
      <c r="AJ249" s="149"/>
      <c r="AK249" s="373"/>
      <c r="AL249" s="373"/>
      <c r="AM249" s="373"/>
      <c r="AN249" s="374"/>
      <c r="AO249" s="149"/>
      <c r="AP249" s="373"/>
      <c r="AQ249" s="373"/>
      <c r="AR249" s="373"/>
      <c r="AS249" s="374"/>
      <c r="AT249" s="149"/>
      <c r="AU249" s="373"/>
      <c r="AV249" s="373"/>
      <c r="AW249" s="373"/>
      <c r="AX249" s="374"/>
      <c r="AY249" s="149"/>
      <c r="AZ249" s="373"/>
      <c r="BA249" s="373"/>
      <c r="BB249" s="373"/>
      <c r="BC249" s="374"/>
      <c r="BD249" s="149"/>
      <c r="BE249" s="373"/>
      <c r="BF249" s="373"/>
      <c r="BG249" s="373"/>
      <c r="BH249" s="374"/>
      <c r="BI249" s="149"/>
      <c r="BJ249" s="373"/>
      <c r="BK249" s="373"/>
      <c r="BL249" s="373"/>
      <c r="BM249" s="374"/>
      <c r="BN249" s="149"/>
      <c r="BO249" s="373"/>
      <c r="BP249" s="373"/>
      <c r="BQ249" s="373"/>
      <c r="BR249" s="374"/>
      <c r="BS249" s="149"/>
      <c r="BT249" s="373"/>
      <c r="BU249" s="373"/>
      <c r="BV249" s="373"/>
      <c r="BW249" s="9"/>
      <c r="BZ249" s="10"/>
      <c r="CA249" s="10"/>
    </row>
    <row r="250" spans="4:79" ht="12.75" customHeight="1" x14ac:dyDescent="0.2">
      <c r="D250" s="9" t="s">
        <v>370</v>
      </c>
      <c r="E250" s="397"/>
      <c r="F250" s="149"/>
      <c r="G250" s="373">
        <v>0</v>
      </c>
      <c r="H250" s="373"/>
      <c r="I250" s="373"/>
      <c r="J250" s="374"/>
      <c r="K250" s="149"/>
      <c r="L250" s="373">
        <f>SUM(L251:L254)</f>
        <v>0</v>
      </c>
      <c r="M250" s="373"/>
      <c r="N250" s="373"/>
      <c r="O250" s="374"/>
      <c r="P250" s="149"/>
      <c r="Q250" s="373">
        <f>SUM(Q251:Q254)</f>
        <v>0</v>
      </c>
      <c r="R250" s="373"/>
      <c r="S250" s="373"/>
      <c r="T250" s="374"/>
      <c r="U250" s="149"/>
      <c r="V250" s="373">
        <f>SUM(V251:V254)</f>
        <v>0</v>
      </c>
      <c r="W250" s="373"/>
      <c r="X250" s="373"/>
      <c r="Y250" s="374"/>
      <c r="Z250" s="149"/>
      <c r="AA250" s="373">
        <f>SUM(AA251:AA254)</f>
        <v>0</v>
      </c>
      <c r="AB250" s="373"/>
      <c r="AC250" s="373"/>
      <c r="AD250" s="374"/>
      <c r="AE250" s="149"/>
      <c r="AF250" s="373">
        <f>SUM(AF251:AF254)</f>
        <v>0</v>
      </c>
      <c r="AG250" s="373"/>
      <c r="AH250" s="373"/>
      <c r="AI250" s="374"/>
      <c r="AJ250" s="149"/>
      <c r="AK250" s="373">
        <f>SUM(AK251:AK254)</f>
        <v>0</v>
      </c>
      <c r="AL250" s="373"/>
      <c r="AM250" s="373"/>
      <c r="AN250" s="374"/>
      <c r="AO250" s="149"/>
      <c r="AP250" s="373">
        <f>SUM(AP251:AP254)</f>
        <v>0</v>
      </c>
      <c r="AQ250" s="373"/>
      <c r="AR250" s="373"/>
      <c r="AS250" s="374"/>
      <c r="AT250" s="149"/>
      <c r="AU250" s="373">
        <f>SUM(AU251:AU254)</f>
        <v>0</v>
      </c>
      <c r="AV250" s="373"/>
      <c r="AW250" s="373"/>
      <c r="AX250" s="374"/>
      <c r="AY250" s="149"/>
      <c r="AZ250" s="373">
        <f>SUM(AZ251:AZ254)</f>
        <v>0</v>
      </c>
      <c r="BA250" s="373"/>
      <c r="BB250" s="373"/>
      <c r="BC250" s="374"/>
      <c r="BD250" s="149"/>
      <c r="BE250" s="373">
        <f>SUM(BE251:BE254)</f>
        <v>0</v>
      </c>
      <c r="BF250" s="373"/>
      <c r="BG250" s="373"/>
      <c r="BH250" s="374"/>
      <c r="BI250" s="149"/>
      <c r="BJ250" s="373">
        <f>SUM(BJ251:BJ254)</f>
        <v>0</v>
      </c>
      <c r="BK250" s="373"/>
      <c r="BL250" s="373"/>
      <c r="BM250" s="374"/>
      <c r="BN250" s="149"/>
      <c r="BO250" s="373">
        <f>SUM(BO251:BO254)</f>
        <v>0</v>
      </c>
      <c r="BP250" s="373"/>
      <c r="BQ250" s="373"/>
      <c r="BR250" s="374"/>
      <c r="BS250" s="149"/>
      <c r="BT250" s="373">
        <f>SUM(BT251:BT254)</f>
        <v>0</v>
      </c>
      <c r="BU250" s="373"/>
      <c r="BV250" s="373"/>
      <c r="BW250" s="9"/>
      <c r="BZ250" s="10"/>
      <c r="CA250" s="10"/>
    </row>
    <row r="251" spans="4:79" ht="12.75" customHeight="1" x14ac:dyDescent="0.2">
      <c r="D251" s="9" t="s">
        <v>343</v>
      </c>
      <c r="F251" s="309"/>
      <c r="G251" s="371">
        <v>0</v>
      </c>
      <c r="H251" s="372"/>
      <c r="I251" s="373"/>
      <c r="J251" s="374"/>
      <c r="K251" s="375"/>
      <c r="L251" s="371">
        <v>0</v>
      </c>
      <c r="M251" s="372"/>
      <c r="N251" s="373"/>
      <c r="O251" s="374"/>
      <c r="P251" s="375"/>
      <c r="Q251" s="371">
        <v>0</v>
      </c>
      <c r="R251" s="372"/>
      <c r="S251" s="373"/>
      <c r="T251" s="374"/>
      <c r="U251" s="375"/>
      <c r="V251" s="371">
        <v>0</v>
      </c>
      <c r="W251" s="372"/>
      <c r="X251" s="373"/>
      <c r="Y251" s="374"/>
      <c r="Z251" s="375"/>
      <c r="AA251" s="371">
        <v>0</v>
      </c>
      <c r="AB251" s="372"/>
      <c r="AC251" s="373"/>
      <c r="AD251" s="374"/>
      <c r="AE251" s="375"/>
      <c r="AF251" s="371">
        <v>0</v>
      </c>
      <c r="AG251" s="372"/>
      <c r="AH251" s="373"/>
      <c r="AI251" s="374"/>
      <c r="AJ251" s="375"/>
      <c r="AK251" s="371">
        <v>0</v>
      </c>
      <c r="AL251" s="372"/>
      <c r="AM251" s="373"/>
      <c r="AN251" s="374"/>
      <c r="AO251" s="375"/>
      <c r="AP251" s="371">
        <v>0</v>
      </c>
      <c r="AQ251" s="372"/>
      <c r="AR251" s="373"/>
      <c r="AS251" s="374"/>
      <c r="AT251" s="375"/>
      <c r="AU251" s="371">
        <v>0</v>
      </c>
      <c r="AV251" s="372"/>
      <c r="AW251" s="373"/>
      <c r="AX251" s="374"/>
      <c r="AY251" s="375"/>
      <c r="AZ251" s="371">
        <v>0</v>
      </c>
      <c r="BA251" s="372"/>
      <c r="BB251" s="373"/>
      <c r="BC251" s="374"/>
      <c r="BD251" s="375"/>
      <c r="BE251" s="371">
        <v>0</v>
      </c>
      <c r="BF251" s="372"/>
      <c r="BG251" s="373"/>
      <c r="BH251" s="374"/>
      <c r="BI251" s="375"/>
      <c r="BJ251" s="371">
        <v>0</v>
      </c>
      <c r="BK251" s="372"/>
      <c r="BL251" s="373"/>
      <c r="BM251" s="374"/>
      <c r="BN251" s="375"/>
      <c r="BO251" s="371">
        <v>0</v>
      </c>
      <c r="BP251" s="372"/>
      <c r="BQ251" s="373"/>
      <c r="BR251" s="374"/>
      <c r="BS251" s="375"/>
      <c r="BT251" s="371">
        <f>SUM(L251:BO251)</f>
        <v>0</v>
      </c>
      <c r="BU251" s="372"/>
      <c r="BV251" s="373"/>
      <c r="BW251" s="9"/>
      <c r="BZ251" s="10"/>
      <c r="CA251" s="10"/>
    </row>
    <row r="252" spans="4:79" ht="12.75" customHeight="1" x14ac:dyDescent="0.2">
      <c r="D252" s="9" t="s">
        <v>345</v>
      </c>
      <c r="E252" s="397"/>
      <c r="F252" s="156"/>
      <c r="G252" s="373">
        <v>0</v>
      </c>
      <c r="H252" s="377"/>
      <c r="I252" s="373"/>
      <c r="J252" s="374"/>
      <c r="K252" s="374"/>
      <c r="L252" s="373">
        <v>0</v>
      </c>
      <c r="M252" s="377"/>
      <c r="N252" s="373"/>
      <c r="O252" s="374"/>
      <c r="P252" s="374"/>
      <c r="Q252" s="373">
        <v>0</v>
      </c>
      <c r="R252" s="377"/>
      <c r="S252" s="373"/>
      <c r="T252" s="374"/>
      <c r="U252" s="374"/>
      <c r="V252" s="373">
        <v>0</v>
      </c>
      <c r="W252" s="377"/>
      <c r="X252" s="373"/>
      <c r="Y252" s="374"/>
      <c r="Z252" s="374"/>
      <c r="AA252" s="373">
        <v>0</v>
      </c>
      <c r="AB252" s="377"/>
      <c r="AC252" s="373"/>
      <c r="AD252" s="374"/>
      <c r="AE252" s="374"/>
      <c r="AF252" s="373">
        <v>0</v>
      </c>
      <c r="AG252" s="377"/>
      <c r="AH252" s="373"/>
      <c r="AI252" s="374"/>
      <c r="AJ252" s="374"/>
      <c r="AK252" s="373">
        <v>0</v>
      </c>
      <c r="AL252" s="377"/>
      <c r="AM252" s="373"/>
      <c r="AN252" s="374"/>
      <c r="AO252" s="374"/>
      <c r="AP252" s="373">
        <v>0</v>
      </c>
      <c r="AQ252" s="377"/>
      <c r="AR252" s="373"/>
      <c r="AS252" s="374"/>
      <c r="AT252" s="374"/>
      <c r="AU252" s="373">
        <v>0</v>
      </c>
      <c r="AV252" s="377"/>
      <c r="AW252" s="373"/>
      <c r="AX252" s="374"/>
      <c r="AY252" s="374"/>
      <c r="AZ252" s="373">
        <v>0</v>
      </c>
      <c r="BA252" s="377"/>
      <c r="BB252" s="373"/>
      <c r="BC252" s="374"/>
      <c r="BD252" s="374"/>
      <c r="BE252" s="373">
        <v>0</v>
      </c>
      <c r="BF252" s="377"/>
      <c r="BG252" s="373"/>
      <c r="BH252" s="374"/>
      <c r="BI252" s="374"/>
      <c r="BJ252" s="373">
        <v>0</v>
      </c>
      <c r="BK252" s="377"/>
      <c r="BL252" s="373"/>
      <c r="BM252" s="374"/>
      <c r="BN252" s="374"/>
      <c r="BO252" s="373">
        <v>0</v>
      </c>
      <c r="BP252" s="377"/>
      <c r="BQ252" s="373"/>
      <c r="BR252" s="374"/>
      <c r="BS252" s="374"/>
      <c r="BT252" s="373">
        <f>SUM(L252:BO252)</f>
        <v>0</v>
      </c>
      <c r="BU252" s="377"/>
      <c r="BV252" s="373"/>
      <c r="BW252" s="9"/>
      <c r="BZ252" s="10"/>
      <c r="CA252" s="10"/>
    </row>
    <row r="253" spans="4:79" ht="12.75" customHeight="1" x14ac:dyDescent="0.2">
      <c r="D253" s="9" t="s">
        <v>353</v>
      </c>
      <c r="E253" s="397"/>
      <c r="F253" s="320"/>
      <c r="G253" s="385">
        <v>0</v>
      </c>
      <c r="H253" s="386"/>
      <c r="I253" s="373"/>
      <c r="J253" s="374"/>
      <c r="K253" s="387"/>
      <c r="L253" s="385">
        <v>0</v>
      </c>
      <c r="M253" s="386"/>
      <c r="N253" s="373"/>
      <c r="O253" s="374"/>
      <c r="P253" s="387"/>
      <c r="Q253" s="385">
        <v>0</v>
      </c>
      <c r="R253" s="386"/>
      <c r="S253" s="373"/>
      <c r="T253" s="374"/>
      <c r="U253" s="387"/>
      <c r="V253" s="385">
        <v>0</v>
      </c>
      <c r="W253" s="386"/>
      <c r="X253" s="373"/>
      <c r="Y253" s="374"/>
      <c r="Z253" s="387"/>
      <c r="AA253" s="385">
        <v>0</v>
      </c>
      <c r="AB253" s="386"/>
      <c r="AC253" s="373"/>
      <c r="AD253" s="374"/>
      <c r="AE253" s="387"/>
      <c r="AF253" s="385">
        <v>0</v>
      </c>
      <c r="AG253" s="386"/>
      <c r="AH253" s="373"/>
      <c r="AI253" s="374"/>
      <c r="AJ253" s="387"/>
      <c r="AK253" s="385">
        <v>0</v>
      </c>
      <c r="AL253" s="386"/>
      <c r="AM253" s="373"/>
      <c r="AN253" s="374"/>
      <c r="AO253" s="387"/>
      <c r="AP253" s="385">
        <v>0</v>
      </c>
      <c r="AQ253" s="386"/>
      <c r="AR253" s="373"/>
      <c r="AS253" s="374"/>
      <c r="AT253" s="387"/>
      <c r="AU253" s="385">
        <v>0</v>
      </c>
      <c r="AV253" s="386"/>
      <c r="AW253" s="373"/>
      <c r="AX253" s="374"/>
      <c r="AY253" s="387"/>
      <c r="AZ253" s="385">
        <v>0</v>
      </c>
      <c r="BA253" s="386"/>
      <c r="BB253" s="373"/>
      <c r="BC253" s="374"/>
      <c r="BD253" s="387"/>
      <c r="BE253" s="385">
        <v>0</v>
      </c>
      <c r="BF253" s="386"/>
      <c r="BG253" s="373"/>
      <c r="BH253" s="374"/>
      <c r="BI253" s="387"/>
      <c r="BJ253" s="385">
        <v>0</v>
      </c>
      <c r="BK253" s="386"/>
      <c r="BL253" s="373"/>
      <c r="BM253" s="374"/>
      <c r="BN253" s="387"/>
      <c r="BO253" s="385">
        <v>0</v>
      </c>
      <c r="BP253" s="386"/>
      <c r="BQ253" s="373"/>
      <c r="BR253" s="374"/>
      <c r="BS253" s="387"/>
      <c r="BT253" s="385">
        <f>SUM(L253:BO253)</f>
        <v>0</v>
      </c>
      <c r="BU253" s="386"/>
      <c r="BV253" s="373"/>
      <c r="BW253" s="9"/>
      <c r="BZ253" s="10"/>
      <c r="CA253" s="10"/>
    </row>
    <row r="254" spans="4:79" ht="12.75" hidden="1" customHeight="1" x14ac:dyDescent="0.2">
      <c r="D254" s="9" t="s">
        <v>347</v>
      </c>
      <c r="E254" s="397"/>
      <c r="F254" s="400"/>
      <c r="G254" s="385">
        <v>0</v>
      </c>
      <c r="H254" s="386"/>
      <c r="I254" s="373"/>
      <c r="J254" s="374"/>
      <c r="K254" s="400"/>
      <c r="L254" s="385">
        <v>0</v>
      </c>
      <c r="M254" s="386"/>
      <c r="N254" s="373"/>
      <c r="O254" s="374"/>
      <c r="P254" s="400"/>
      <c r="Q254" s="385">
        <v>0</v>
      </c>
      <c r="R254" s="386"/>
      <c r="S254" s="373"/>
      <c r="T254" s="374"/>
      <c r="U254" s="400"/>
      <c r="V254" s="385">
        <v>0</v>
      </c>
      <c r="W254" s="386"/>
      <c r="X254" s="373"/>
      <c r="Y254" s="374"/>
      <c r="Z254" s="400"/>
      <c r="AA254" s="385">
        <v>0</v>
      </c>
      <c r="AB254" s="386"/>
      <c r="AC254" s="373"/>
      <c r="AD254" s="374"/>
      <c r="AE254" s="400"/>
      <c r="AF254" s="385">
        <v>0</v>
      </c>
      <c r="AG254" s="386"/>
      <c r="AH254" s="373"/>
      <c r="AI254" s="374"/>
      <c r="AJ254" s="400"/>
      <c r="AK254" s="385">
        <v>0</v>
      </c>
      <c r="AL254" s="386"/>
      <c r="AM254" s="373"/>
      <c r="AN254" s="374"/>
      <c r="AO254" s="400"/>
      <c r="AP254" s="385">
        <v>0</v>
      </c>
      <c r="AQ254" s="386"/>
      <c r="AR254" s="373"/>
      <c r="AS254" s="374"/>
      <c r="AT254" s="400"/>
      <c r="AU254" s="385">
        <v>0</v>
      </c>
      <c r="AV254" s="386"/>
      <c r="AW254" s="373"/>
      <c r="AX254" s="374"/>
      <c r="AY254" s="400"/>
      <c r="AZ254" s="385">
        <v>0</v>
      </c>
      <c r="BA254" s="386"/>
      <c r="BB254" s="373"/>
      <c r="BC254" s="374"/>
      <c r="BD254" s="400"/>
      <c r="BE254" s="385">
        <v>0</v>
      </c>
      <c r="BF254" s="386"/>
      <c r="BG254" s="373"/>
      <c r="BH254" s="374"/>
      <c r="BI254" s="400"/>
      <c r="BJ254" s="385">
        <v>0</v>
      </c>
      <c r="BK254" s="386"/>
      <c r="BL254" s="373"/>
      <c r="BM254" s="374"/>
      <c r="BN254" s="400"/>
      <c r="BO254" s="385">
        <v>0</v>
      </c>
      <c r="BP254" s="386"/>
      <c r="BQ254" s="373"/>
      <c r="BR254" s="374"/>
      <c r="BS254" s="400"/>
      <c r="BT254" s="385">
        <f>SUM(L254:BO254)</f>
        <v>0</v>
      </c>
      <c r="BU254" s="386"/>
      <c r="BV254" s="373"/>
      <c r="BW254" s="9"/>
      <c r="BZ254" s="10"/>
      <c r="CA254" s="10"/>
    </row>
    <row r="255" spans="4:79" ht="12.75" customHeight="1" x14ac:dyDescent="0.2">
      <c r="D255" s="9"/>
      <c r="E255" s="397"/>
      <c r="F255" s="149"/>
      <c r="G255" s="373"/>
      <c r="H255" s="373"/>
      <c r="I255" s="373"/>
      <c r="J255" s="374"/>
      <c r="K255" s="149"/>
      <c r="L255" s="373"/>
      <c r="M255" s="373"/>
      <c r="N255" s="373"/>
      <c r="O255" s="374"/>
      <c r="P255" s="149"/>
      <c r="Q255" s="373"/>
      <c r="R255" s="373"/>
      <c r="S255" s="373"/>
      <c r="T255" s="374"/>
      <c r="U255" s="149"/>
      <c r="V255" s="373"/>
      <c r="W255" s="373"/>
      <c r="X255" s="373"/>
      <c r="Y255" s="374"/>
      <c r="Z255" s="149"/>
      <c r="AA255" s="373"/>
      <c r="AB255" s="373"/>
      <c r="AC255" s="373"/>
      <c r="AD255" s="374"/>
      <c r="AE255" s="149"/>
      <c r="AF255" s="373"/>
      <c r="AG255" s="373"/>
      <c r="AH255" s="373"/>
      <c r="AI255" s="374"/>
      <c r="AJ255" s="149"/>
      <c r="AK255" s="373"/>
      <c r="AL255" s="373"/>
      <c r="AM255" s="373"/>
      <c r="AN255" s="374"/>
      <c r="AO255" s="149"/>
      <c r="AP255" s="373"/>
      <c r="AQ255" s="373"/>
      <c r="AR255" s="373"/>
      <c r="AS255" s="374"/>
      <c r="AT255" s="149"/>
      <c r="AU255" s="373"/>
      <c r="AV255" s="373"/>
      <c r="AW255" s="373"/>
      <c r="AX255" s="374"/>
      <c r="AY255" s="149"/>
      <c r="AZ255" s="373"/>
      <c r="BA255" s="373"/>
      <c r="BB255" s="373"/>
      <c r="BC255" s="374"/>
      <c r="BD255" s="149"/>
      <c r="BE255" s="373"/>
      <c r="BF255" s="373"/>
      <c r="BG255" s="373"/>
      <c r="BH255" s="374"/>
      <c r="BI255" s="149"/>
      <c r="BJ255" s="373"/>
      <c r="BK255" s="373"/>
      <c r="BL255" s="373"/>
      <c r="BM255" s="374"/>
      <c r="BN255" s="149"/>
      <c r="BO255" s="373"/>
      <c r="BP255" s="373"/>
      <c r="BQ255" s="373"/>
      <c r="BR255" s="374"/>
      <c r="BS255" s="149"/>
      <c r="BT255" s="373"/>
      <c r="BU255" s="373"/>
      <c r="BV255" s="373"/>
      <c r="BW255" s="9"/>
      <c r="BZ255" s="10"/>
      <c r="CA255" s="10"/>
    </row>
    <row r="256" spans="4:79" ht="12.75" customHeight="1" x14ac:dyDescent="0.2">
      <c r="D256" s="9" t="s">
        <v>376</v>
      </c>
      <c r="E256" s="397"/>
      <c r="F256" s="149"/>
      <c r="G256" s="373">
        <v>0</v>
      </c>
      <c r="H256" s="373"/>
      <c r="I256" s="373"/>
      <c r="J256" s="374"/>
      <c r="K256" s="149"/>
      <c r="L256" s="373">
        <f>SUM(L257:L260)</f>
        <v>0</v>
      </c>
      <c r="M256" s="373"/>
      <c r="N256" s="373"/>
      <c r="O256" s="374"/>
      <c r="P256" s="149"/>
      <c r="Q256" s="373">
        <f>SUM(Q257:Q260)</f>
        <v>0</v>
      </c>
      <c r="R256" s="373"/>
      <c r="S256" s="373"/>
      <c r="T256" s="374"/>
      <c r="U256" s="149"/>
      <c r="V256" s="373">
        <f>SUM(V257:V260)</f>
        <v>0</v>
      </c>
      <c r="W256" s="373"/>
      <c r="X256" s="373"/>
      <c r="Y256" s="374"/>
      <c r="Z256" s="149"/>
      <c r="AA256" s="373">
        <f>SUM(AA257:AA260)</f>
        <v>0</v>
      </c>
      <c r="AB256" s="373"/>
      <c r="AC256" s="373"/>
      <c r="AD256" s="374"/>
      <c r="AE256" s="149"/>
      <c r="AF256" s="373">
        <f>SUM(AF257:AF260)</f>
        <v>0</v>
      </c>
      <c r="AG256" s="373"/>
      <c r="AH256" s="373"/>
      <c r="AI256" s="374"/>
      <c r="AJ256" s="149"/>
      <c r="AK256" s="373">
        <f>SUM(AK257:AK260)</f>
        <v>0</v>
      </c>
      <c r="AL256" s="373"/>
      <c r="AM256" s="373"/>
      <c r="AN256" s="374"/>
      <c r="AO256" s="149"/>
      <c r="AP256" s="373">
        <f>SUM(AP257:AP260)</f>
        <v>0</v>
      </c>
      <c r="AQ256" s="373"/>
      <c r="AR256" s="373"/>
      <c r="AS256" s="374"/>
      <c r="AT256" s="149"/>
      <c r="AU256" s="373">
        <f>SUM(AU257:AU260)</f>
        <v>0</v>
      </c>
      <c r="AV256" s="373"/>
      <c r="AW256" s="373"/>
      <c r="AX256" s="374"/>
      <c r="AY256" s="149"/>
      <c r="AZ256" s="373">
        <f>SUM(AZ257:AZ260)</f>
        <v>0</v>
      </c>
      <c r="BA256" s="373"/>
      <c r="BB256" s="373"/>
      <c r="BC256" s="374"/>
      <c r="BD256" s="149"/>
      <c r="BE256" s="373">
        <f>SUM(BE257:BE260)</f>
        <v>0</v>
      </c>
      <c r="BF256" s="373"/>
      <c r="BG256" s="373"/>
      <c r="BH256" s="374"/>
      <c r="BI256" s="149"/>
      <c r="BJ256" s="373">
        <f>SUM(BJ257:BJ260)</f>
        <v>0</v>
      </c>
      <c r="BK256" s="373"/>
      <c r="BL256" s="373"/>
      <c r="BM256" s="374"/>
      <c r="BN256" s="149"/>
      <c r="BO256" s="373">
        <f>SUM(BO257:BO260)</f>
        <v>0</v>
      </c>
      <c r="BP256" s="373"/>
      <c r="BQ256" s="373"/>
      <c r="BR256" s="374"/>
      <c r="BS256" s="149"/>
      <c r="BT256" s="373">
        <f>SUM(BT257:BT260)</f>
        <v>0</v>
      </c>
      <c r="BU256" s="373"/>
      <c r="BV256" s="373"/>
      <c r="BW256" s="9"/>
      <c r="BZ256" s="10"/>
      <c r="CA256" s="10"/>
    </row>
    <row r="257" spans="4:79" ht="12.75" customHeight="1" x14ac:dyDescent="0.2">
      <c r="D257" s="9" t="s">
        <v>343</v>
      </c>
      <c r="E257" s="397"/>
      <c r="F257" s="398"/>
      <c r="G257" s="371">
        <v>0</v>
      </c>
      <c r="H257" s="372"/>
      <c r="I257" s="373"/>
      <c r="J257" s="374"/>
      <c r="K257" s="398"/>
      <c r="L257" s="371">
        <v>0</v>
      </c>
      <c r="M257" s="372"/>
      <c r="N257" s="373"/>
      <c r="O257" s="374"/>
      <c r="P257" s="398"/>
      <c r="Q257" s="371">
        <v>0</v>
      </c>
      <c r="R257" s="372"/>
      <c r="S257" s="373"/>
      <c r="T257" s="374"/>
      <c r="U257" s="398"/>
      <c r="V257" s="371">
        <v>0</v>
      </c>
      <c r="W257" s="372"/>
      <c r="X257" s="373"/>
      <c r="Y257" s="374"/>
      <c r="Z257" s="398"/>
      <c r="AA257" s="371">
        <v>0</v>
      </c>
      <c r="AB257" s="372"/>
      <c r="AC257" s="373"/>
      <c r="AD257" s="374"/>
      <c r="AE257" s="398"/>
      <c r="AF257" s="371">
        <v>0</v>
      </c>
      <c r="AG257" s="372"/>
      <c r="AH257" s="373"/>
      <c r="AI257" s="374"/>
      <c r="AJ257" s="398"/>
      <c r="AK257" s="371">
        <v>0</v>
      </c>
      <c r="AL257" s="372"/>
      <c r="AM257" s="373"/>
      <c r="AN257" s="374"/>
      <c r="AO257" s="398"/>
      <c r="AP257" s="371">
        <v>0</v>
      </c>
      <c r="AQ257" s="372"/>
      <c r="AR257" s="373"/>
      <c r="AS257" s="374"/>
      <c r="AT257" s="398"/>
      <c r="AU257" s="371">
        <v>0</v>
      </c>
      <c r="AV257" s="372"/>
      <c r="AW257" s="373"/>
      <c r="AX257" s="374"/>
      <c r="AY257" s="398"/>
      <c r="AZ257" s="371">
        <v>0</v>
      </c>
      <c r="BA257" s="372"/>
      <c r="BB257" s="373"/>
      <c r="BC257" s="374"/>
      <c r="BD257" s="398"/>
      <c r="BE257" s="371">
        <v>0</v>
      </c>
      <c r="BF257" s="372"/>
      <c r="BG257" s="373"/>
      <c r="BH257" s="374"/>
      <c r="BI257" s="398"/>
      <c r="BJ257" s="371">
        <v>0</v>
      </c>
      <c r="BK257" s="372"/>
      <c r="BL257" s="373"/>
      <c r="BM257" s="374"/>
      <c r="BN257" s="398"/>
      <c r="BO257" s="371">
        <v>0</v>
      </c>
      <c r="BP257" s="372"/>
      <c r="BQ257" s="373"/>
      <c r="BR257" s="374"/>
      <c r="BS257" s="398"/>
      <c r="BT257" s="371">
        <f>SUM(L257:BO257)</f>
        <v>0</v>
      </c>
      <c r="BU257" s="372"/>
      <c r="BV257" s="373"/>
      <c r="BW257" s="9"/>
      <c r="BZ257" s="10"/>
      <c r="CA257" s="10"/>
    </row>
    <row r="258" spans="4:79" ht="12.75" customHeight="1" x14ac:dyDescent="0.2">
      <c r="D258" s="9" t="s">
        <v>345</v>
      </c>
      <c r="E258" s="397"/>
      <c r="F258" s="366"/>
      <c r="G258" s="373">
        <v>0</v>
      </c>
      <c r="H258" s="377"/>
      <c r="I258" s="373"/>
      <c r="J258" s="374"/>
      <c r="K258" s="366"/>
      <c r="L258" s="373">
        <v>0</v>
      </c>
      <c r="M258" s="377"/>
      <c r="N258" s="373"/>
      <c r="O258" s="374"/>
      <c r="P258" s="366"/>
      <c r="Q258" s="373">
        <v>0</v>
      </c>
      <c r="R258" s="377"/>
      <c r="S258" s="373"/>
      <c r="T258" s="374"/>
      <c r="U258" s="366"/>
      <c r="V258" s="373">
        <v>0</v>
      </c>
      <c r="W258" s="377"/>
      <c r="X258" s="373"/>
      <c r="Y258" s="374"/>
      <c r="Z258" s="366"/>
      <c r="AA258" s="373">
        <v>0</v>
      </c>
      <c r="AB258" s="377"/>
      <c r="AC258" s="373"/>
      <c r="AD258" s="374"/>
      <c r="AE258" s="366"/>
      <c r="AF258" s="373">
        <v>0</v>
      </c>
      <c r="AG258" s="377"/>
      <c r="AH258" s="373"/>
      <c r="AI258" s="374"/>
      <c r="AJ258" s="366"/>
      <c r="AK258" s="373">
        <v>0</v>
      </c>
      <c r="AL258" s="377"/>
      <c r="AM258" s="373"/>
      <c r="AN258" s="374"/>
      <c r="AO258" s="366"/>
      <c r="AP258" s="373">
        <v>0</v>
      </c>
      <c r="AQ258" s="377"/>
      <c r="AR258" s="373"/>
      <c r="AS258" s="374"/>
      <c r="AT258" s="366"/>
      <c r="AU258" s="373">
        <v>0</v>
      </c>
      <c r="AV258" s="377"/>
      <c r="AW258" s="373"/>
      <c r="AX258" s="374"/>
      <c r="AY258" s="366"/>
      <c r="AZ258" s="373">
        <v>0</v>
      </c>
      <c r="BA258" s="377"/>
      <c r="BB258" s="373"/>
      <c r="BC258" s="374"/>
      <c r="BD258" s="366"/>
      <c r="BE258" s="373">
        <v>0</v>
      </c>
      <c r="BF258" s="377"/>
      <c r="BG258" s="373"/>
      <c r="BH258" s="374"/>
      <c r="BI258" s="366"/>
      <c r="BJ258" s="373">
        <v>0</v>
      </c>
      <c r="BK258" s="377"/>
      <c r="BL258" s="373"/>
      <c r="BM258" s="374"/>
      <c r="BN258" s="366"/>
      <c r="BO258" s="373">
        <v>0</v>
      </c>
      <c r="BP258" s="377"/>
      <c r="BQ258" s="373"/>
      <c r="BR258" s="374"/>
      <c r="BS258" s="366"/>
      <c r="BT258" s="373">
        <f>SUM(L258:BO258)</f>
        <v>0</v>
      </c>
      <c r="BU258" s="377"/>
      <c r="BV258" s="373"/>
      <c r="BW258" s="9"/>
      <c r="BZ258" s="10"/>
      <c r="CA258" s="10"/>
    </row>
    <row r="259" spans="4:79" ht="12.75" customHeight="1" x14ac:dyDescent="0.2">
      <c r="D259" s="9" t="s">
        <v>353</v>
      </c>
      <c r="E259" s="397"/>
      <c r="F259" s="320"/>
      <c r="G259" s="385">
        <v>0</v>
      </c>
      <c r="H259" s="386"/>
      <c r="I259" s="373"/>
      <c r="J259" s="374"/>
      <c r="K259" s="320"/>
      <c r="L259" s="385">
        <v>0</v>
      </c>
      <c r="M259" s="386"/>
      <c r="N259" s="373"/>
      <c r="O259" s="374"/>
      <c r="P259" s="320"/>
      <c r="Q259" s="385">
        <v>0</v>
      </c>
      <c r="R259" s="386"/>
      <c r="S259" s="373"/>
      <c r="T259" s="374"/>
      <c r="U259" s="320"/>
      <c r="V259" s="385">
        <v>0</v>
      </c>
      <c r="W259" s="386"/>
      <c r="X259" s="373"/>
      <c r="Y259" s="374"/>
      <c r="Z259" s="320"/>
      <c r="AA259" s="385">
        <v>0</v>
      </c>
      <c r="AB259" s="386"/>
      <c r="AC259" s="373"/>
      <c r="AD259" s="374"/>
      <c r="AE259" s="320"/>
      <c r="AF259" s="385">
        <v>0</v>
      </c>
      <c r="AG259" s="386"/>
      <c r="AH259" s="373"/>
      <c r="AI259" s="374"/>
      <c r="AJ259" s="320"/>
      <c r="AK259" s="385">
        <v>0</v>
      </c>
      <c r="AL259" s="386"/>
      <c r="AM259" s="373"/>
      <c r="AN259" s="374"/>
      <c r="AO259" s="320"/>
      <c r="AP259" s="385">
        <v>0</v>
      </c>
      <c r="AQ259" s="386"/>
      <c r="AR259" s="373"/>
      <c r="AS259" s="374"/>
      <c r="AT259" s="387"/>
      <c r="AU259" s="385">
        <v>0</v>
      </c>
      <c r="AV259" s="386"/>
      <c r="AW259" s="373"/>
      <c r="AX259" s="374"/>
      <c r="AY259" s="387"/>
      <c r="AZ259" s="385">
        <v>0</v>
      </c>
      <c r="BA259" s="386"/>
      <c r="BB259" s="373"/>
      <c r="BC259" s="374"/>
      <c r="BD259" s="387"/>
      <c r="BE259" s="385">
        <v>0</v>
      </c>
      <c r="BF259" s="386"/>
      <c r="BG259" s="373"/>
      <c r="BH259" s="374"/>
      <c r="BI259" s="387"/>
      <c r="BJ259" s="385">
        <v>0</v>
      </c>
      <c r="BK259" s="386"/>
      <c r="BL259" s="373"/>
      <c r="BM259" s="374"/>
      <c r="BN259" s="387"/>
      <c r="BO259" s="385">
        <v>0</v>
      </c>
      <c r="BP259" s="386"/>
      <c r="BQ259" s="373"/>
      <c r="BR259" s="374"/>
      <c r="BS259" s="387"/>
      <c r="BT259" s="385">
        <f>SUM(L259:BO259)</f>
        <v>0</v>
      </c>
      <c r="BU259" s="386"/>
      <c r="BV259" s="373"/>
      <c r="BW259" s="9"/>
      <c r="BZ259" s="10"/>
      <c r="CA259" s="10"/>
    </row>
    <row r="260" spans="4:79" ht="12.75" hidden="1" customHeight="1" x14ac:dyDescent="0.2">
      <c r="D260" s="9" t="s">
        <v>347</v>
      </c>
      <c r="E260" s="397"/>
      <c r="F260" s="400"/>
      <c r="G260" s="385">
        <v>0</v>
      </c>
      <c r="H260" s="386"/>
      <c r="I260" s="373"/>
      <c r="J260" s="374"/>
      <c r="K260" s="400"/>
      <c r="L260" s="385">
        <v>0</v>
      </c>
      <c r="M260" s="386"/>
      <c r="N260" s="373"/>
      <c r="O260" s="374"/>
      <c r="P260" s="400"/>
      <c r="Q260" s="385">
        <v>0</v>
      </c>
      <c r="R260" s="386"/>
      <c r="S260" s="373"/>
      <c r="T260" s="374"/>
      <c r="U260" s="400"/>
      <c r="V260" s="385">
        <v>0</v>
      </c>
      <c r="W260" s="386"/>
      <c r="X260" s="373"/>
      <c r="Y260" s="374"/>
      <c r="Z260" s="400"/>
      <c r="AA260" s="385">
        <v>0</v>
      </c>
      <c r="AB260" s="386"/>
      <c r="AC260" s="373"/>
      <c r="AD260" s="374"/>
      <c r="AE260" s="400"/>
      <c r="AF260" s="385">
        <v>0</v>
      </c>
      <c r="AG260" s="386"/>
      <c r="AH260" s="373"/>
      <c r="AI260" s="374"/>
      <c r="AJ260" s="400"/>
      <c r="AK260" s="385">
        <v>0</v>
      </c>
      <c r="AL260" s="386"/>
      <c r="AM260" s="373"/>
      <c r="AN260" s="374"/>
      <c r="AO260" s="400"/>
      <c r="AP260" s="385">
        <v>0</v>
      </c>
      <c r="AQ260" s="386"/>
      <c r="AR260" s="373"/>
      <c r="AS260" s="374"/>
      <c r="AT260" s="400"/>
      <c r="AU260" s="385">
        <v>0</v>
      </c>
      <c r="AV260" s="386"/>
      <c r="AW260" s="373"/>
      <c r="AX260" s="374"/>
      <c r="AY260" s="400"/>
      <c r="AZ260" s="385">
        <v>0</v>
      </c>
      <c r="BA260" s="386"/>
      <c r="BB260" s="373"/>
      <c r="BC260" s="374"/>
      <c r="BD260" s="400"/>
      <c r="BE260" s="385">
        <v>0</v>
      </c>
      <c r="BF260" s="386"/>
      <c r="BG260" s="373"/>
      <c r="BH260" s="374"/>
      <c r="BI260" s="400"/>
      <c r="BJ260" s="385">
        <v>0</v>
      </c>
      <c r="BK260" s="386"/>
      <c r="BL260" s="373"/>
      <c r="BM260" s="374"/>
      <c r="BN260" s="400"/>
      <c r="BO260" s="385">
        <v>0</v>
      </c>
      <c r="BP260" s="386"/>
      <c r="BQ260" s="373"/>
      <c r="BR260" s="374"/>
      <c r="BS260" s="400"/>
      <c r="BT260" s="385">
        <f>SUM(L260:BO260)</f>
        <v>0</v>
      </c>
      <c r="BU260" s="386"/>
      <c r="BV260" s="373"/>
      <c r="BW260" s="9"/>
      <c r="BZ260" s="10"/>
      <c r="CA260" s="10"/>
    </row>
    <row r="261" spans="4:79" ht="12.75" customHeight="1" x14ac:dyDescent="0.2">
      <c r="D261" s="9"/>
      <c r="E261" s="397"/>
      <c r="F261" s="149"/>
      <c r="G261" s="373"/>
      <c r="H261" s="373"/>
      <c r="I261" s="373"/>
      <c r="J261" s="374"/>
      <c r="K261" s="149"/>
      <c r="L261" s="373"/>
      <c r="M261" s="373"/>
      <c r="N261" s="373"/>
      <c r="O261" s="374"/>
      <c r="P261" s="149"/>
      <c r="Q261" s="373"/>
      <c r="R261" s="373"/>
      <c r="S261" s="373"/>
      <c r="T261" s="374"/>
      <c r="U261" s="149"/>
      <c r="V261" s="373"/>
      <c r="W261" s="373"/>
      <c r="X261" s="373"/>
      <c r="Y261" s="374"/>
      <c r="Z261" s="149"/>
      <c r="AA261" s="373"/>
      <c r="AB261" s="373"/>
      <c r="AC261" s="373"/>
      <c r="AD261" s="374"/>
      <c r="AE261" s="149"/>
      <c r="AF261" s="373"/>
      <c r="AG261" s="373"/>
      <c r="AH261" s="373"/>
      <c r="AI261" s="374"/>
      <c r="AJ261" s="149"/>
      <c r="AK261" s="373"/>
      <c r="AL261" s="373"/>
      <c r="AM261" s="373"/>
      <c r="AN261" s="374"/>
      <c r="AO261" s="149"/>
      <c r="AP261" s="373"/>
      <c r="AQ261" s="373"/>
      <c r="AR261" s="373"/>
      <c r="AS261" s="374"/>
      <c r="AT261" s="149"/>
      <c r="AU261" s="373"/>
      <c r="AV261" s="373"/>
      <c r="AW261" s="373"/>
      <c r="AX261" s="374"/>
      <c r="AY261" s="149"/>
      <c r="AZ261" s="373"/>
      <c r="BA261" s="373"/>
      <c r="BB261" s="373"/>
      <c r="BC261" s="374"/>
      <c r="BD261" s="149"/>
      <c r="BE261" s="373"/>
      <c r="BF261" s="373"/>
      <c r="BG261" s="373"/>
      <c r="BH261" s="374"/>
      <c r="BI261" s="149"/>
      <c r="BJ261" s="373"/>
      <c r="BK261" s="373"/>
      <c r="BL261" s="373"/>
      <c r="BM261" s="374"/>
      <c r="BN261" s="149"/>
      <c r="BO261" s="373"/>
      <c r="BP261" s="373"/>
      <c r="BQ261" s="373"/>
      <c r="BR261" s="374"/>
      <c r="BS261" s="149"/>
      <c r="BT261" s="373"/>
      <c r="BU261" s="373"/>
      <c r="BV261" s="373"/>
      <c r="BW261" s="9"/>
      <c r="BZ261" s="10"/>
      <c r="CA261" s="10"/>
    </row>
    <row r="262" spans="4:79" ht="12.75" customHeight="1" x14ac:dyDescent="0.2">
      <c r="D262" s="9" t="s">
        <v>400</v>
      </c>
      <c r="G262" s="373">
        <f>SUM(G263:G265)</f>
        <v>0</v>
      </c>
      <c r="H262" s="373"/>
      <c r="I262" s="373"/>
      <c r="J262" s="374"/>
      <c r="K262" s="373"/>
      <c r="L262" s="373">
        <f>SUM(L263:L265)</f>
        <v>0</v>
      </c>
      <c r="M262" s="373"/>
      <c r="N262" s="373"/>
      <c r="O262" s="374"/>
      <c r="P262" s="373"/>
      <c r="Q262" s="373">
        <f>SUM(Q263:Q265)</f>
        <v>0</v>
      </c>
      <c r="R262" s="373"/>
      <c r="S262" s="373"/>
      <c r="T262" s="374"/>
      <c r="U262" s="373"/>
      <c r="V262" s="373">
        <f>SUM(V263:V265)</f>
        <v>0</v>
      </c>
      <c r="W262" s="373"/>
      <c r="X262" s="373"/>
      <c r="Y262" s="374"/>
      <c r="Z262" s="373"/>
      <c r="AA262" s="373">
        <f>SUM(AA263:AA265)</f>
        <v>0</v>
      </c>
      <c r="AB262" s="373"/>
      <c r="AC262" s="373"/>
      <c r="AD262" s="374"/>
      <c r="AE262" s="373"/>
      <c r="AF262" s="373">
        <f>SUM(AF263:AF265)</f>
        <v>0</v>
      </c>
      <c r="AG262" s="373"/>
      <c r="AH262" s="373"/>
      <c r="AI262" s="374"/>
      <c r="AJ262" s="373"/>
      <c r="AK262" s="373">
        <f>SUM(AK263:AK265)</f>
        <v>0</v>
      </c>
      <c r="AL262" s="373"/>
      <c r="AM262" s="373"/>
      <c r="AN262" s="374"/>
      <c r="AO262" s="373"/>
      <c r="AP262" s="373">
        <f>SUM(AP263:AP265)</f>
        <v>0</v>
      </c>
      <c r="AQ262" s="373"/>
      <c r="AR262" s="373"/>
      <c r="AS262" s="374"/>
      <c r="AT262" s="373"/>
      <c r="AU262" s="373">
        <f>SUM(AU263:AU265)</f>
        <v>0</v>
      </c>
      <c r="AV262" s="373"/>
      <c r="AW262" s="373"/>
      <c r="AX262" s="374"/>
      <c r="AY262" s="373"/>
      <c r="AZ262" s="373">
        <f>SUM(AZ263:AZ265)</f>
        <v>0</v>
      </c>
      <c r="BA262" s="373"/>
      <c r="BB262" s="373"/>
      <c r="BC262" s="374"/>
      <c r="BD262" s="373"/>
      <c r="BE262" s="373">
        <f>SUM(BE263:BE265)</f>
        <v>0</v>
      </c>
      <c r="BF262" s="373"/>
      <c r="BG262" s="373"/>
      <c r="BH262" s="374"/>
      <c r="BI262" s="373"/>
      <c r="BJ262" s="373">
        <f>SUM(BJ263:BJ265)</f>
        <v>0</v>
      </c>
      <c r="BK262" s="373"/>
      <c r="BL262" s="373"/>
      <c r="BM262" s="374"/>
      <c r="BN262" s="373"/>
      <c r="BO262" s="373">
        <f>SUM(BO263:BO265)</f>
        <v>0</v>
      </c>
      <c r="BP262" s="373"/>
      <c r="BQ262" s="373"/>
      <c r="BR262" s="374"/>
      <c r="BS262" s="373"/>
      <c r="BT262" s="373">
        <f>SUM(BT263:BT265)</f>
        <v>0</v>
      </c>
      <c r="BU262" s="373"/>
      <c r="BV262" s="373"/>
      <c r="BW262" s="9"/>
      <c r="BZ262" s="10"/>
      <c r="CA262" s="10"/>
    </row>
    <row r="263" spans="4:79" ht="12.75" customHeight="1" x14ac:dyDescent="0.2">
      <c r="D263" s="9" t="s">
        <v>343</v>
      </c>
      <c r="F263" s="309"/>
      <c r="G263" s="371">
        <v>0</v>
      </c>
      <c r="H263" s="372"/>
      <c r="I263" s="373"/>
      <c r="J263" s="374"/>
      <c r="K263" s="309"/>
      <c r="L263" s="371">
        <v>0</v>
      </c>
      <c r="M263" s="372"/>
      <c r="N263" s="373"/>
      <c r="O263" s="374"/>
      <c r="P263" s="309"/>
      <c r="Q263" s="371">
        <v>0</v>
      </c>
      <c r="R263" s="372"/>
      <c r="S263" s="373"/>
      <c r="T263" s="374"/>
      <c r="U263" s="309"/>
      <c r="V263" s="371">
        <v>0</v>
      </c>
      <c r="W263" s="372"/>
      <c r="X263" s="373"/>
      <c r="Y263" s="374"/>
      <c r="Z263" s="309"/>
      <c r="AA263" s="371">
        <v>0</v>
      </c>
      <c r="AB263" s="372"/>
      <c r="AC263" s="373"/>
      <c r="AD263" s="374"/>
      <c r="AE263" s="309"/>
      <c r="AF263" s="371">
        <v>0</v>
      </c>
      <c r="AG263" s="372"/>
      <c r="AH263" s="373"/>
      <c r="AI263" s="374"/>
      <c r="AJ263" s="309"/>
      <c r="AK263" s="371">
        <v>0</v>
      </c>
      <c r="AL263" s="372"/>
      <c r="AM263" s="373"/>
      <c r="AN263" s="374"/>
      <c r="AO263" s="309"/>
      <c r="AP263" s="371">
        <v>0</v>
      </c>
      <c r="AQ263" s="372"/>
      <c r="AR263" s="373"/>
      <c r="AS263" s="374"/>
      <c r="AT263" s="375"/>
      <c r="AU263" s="371">
        <v>0</v>
      </c>
      <c r="AV263" s="372"/>
      <c r="AW263" s="373"/>
      <c r="AX263" s="374"/>
      <c r="AY263" s="375"/>
      <c r="AZ263" s="371">
        <v>0</v>
      </c>
      <c r="BA263" s="372"/>
      <c r="BB263" s="373"/>
      <c r="BC263" s="374"/>
      <c r="BD263" s="375"/>
      <c r="BE263" s="371">
        <v>0</v>
      </c>
      <c r="BF263" s="372"/>
      <c r="BG263" s="373"/>
      <c r="BH263" s="374"/>
      <c r="BI263" s="375"/>
      <c r="BJ263" s="371">
        <v>0</v>
      </c>
      <c r="BK263" s="372"/>
      <c r="BL263" s="373"/>
      <c r="BM263" s="374"/>
      <c r="BN263" s="375"/>
      <c r="BO263" s="371">
        <v>0</v>
      </c>
      <c r="BP263" s="372"/>
      <c r="BQ263" s="373"/>
      <c r="BR263" s="374"/>
      <c r="BS263" s="375"/>
      <c r="BT263" s="371">
        <f>SUM(L263:BO263)</f>
        <v>0</v>
      </c>
      <c r="BU263" s="372"/>
      <c r="BV263" s="373"/>
      <c r="BW263" s="9"/>
      <c r="BZ263" s="10"/>
      <c r="CA263" s="10"/>
    </row>
    <row r="264" spans="4:79" ht="12.75" customHeight="1" x14ac:dyDescent="0.2">
      <c r="D264" s="9" t="s">
        <v>345</v>
      </c>
      <c r="F264" s="156"/>
      <c r="G264" s="373">
        <v>0</v>
      </c>
      <c r="H264" s="377"/>
      <c r="I264" s="373"/>
      <c r="J264" s="374"/>
      <c r="K264" s="156"/>
      <c r="L264" s="373">
        <v>0</v>
      </c>
      <c r="M264" s="377"/>
      <c r="N264" s="373"/>
      <c r="O264" s="374"/>
      <c r="P264" s="156"/>
      <c r="Q264" s="373">
        <v>0</v>
      </c>
      <c r="R264" s="377"/>
      <c r="S264" s="373"/>
      <c r="T264" s="374"/>
      <c r="U264" s="156"/>
      <c r="V264" s="373">
        <v>0</v>
      </c>
      <c r="W264" s="377"/>
      <c r="X264" s="373"/>
      <c r="Y264" s="374"/>
      <c r="Z264" s="156"/>
      <c r="AA264" s="373">
        <v>0</v>
      </c>
      <c r="AB264" s="377"/>
      <c r="AC264" s="373"/>
      <c r="AD264" s="374"/>
      <c r="AE264" s="156"/>
      <c r="AF264" s="373">
        <v>0</v>
      </c>
      <c r="AG264" s="377"/>
      <c r="AH264" s="373"/>
      <c r="AI264" s="374"/>
      <c r="AJ264" s="156"/>
      <c r="AK264" s="373">
        <v>0</v>
      </c>
      <c r="AL264" s="377"/>
      <c r="AM264" s="373"/>
      <c r="AN264" s="374"/>
      <c r="AO264" s="156"/>
      <c r="AP264" s="373">
        <v>0</v>
      </c>
      <c r="AQ264" s="377"/>
      <c r="AR264" s="373"/>
      <c r="AS264" s="374"/>
      <c r="AT264" s="374"/>
      <c r="AU264" s="373">
        <v>0</v>
      </c>
      <c r="AV264" s="377"/>
      <c r="AW264" s="373"/>
      <c r="AX264" s="374"/>
      <c r="AY264" s="374"/>
      <c r="AZ264" s="373">
        <v>0</v>
      </c>
      <c r="BA264" s="377"/>
      <c r="BB264" s="373"/>
      <c r="BC264" s="374"/>
      <c r="BD264" s="374"/>
      <c r="BE264" s="373">
        <v>0</v>
      </c>
      <c r="BF264" s="377"/>
      <c r="BG264" s="373"/>
      <c r="BH264" s="374"/>
      <c r="BI264" s="374"/>
      <c r="BJ264" s="373">
        <v>0</v>
      </c>
      <c r="BK264" s="377"/>
      <c r="BL264" s="373"/>
      <c r="BM264" s="374"/>
      <c r="BN264" s="374"/>
      <c r="BO264" s="373">
        <v>0</v>
      </c>
      <c r="BP264" s="377"/>
      <c r="BQ264" s="373"/>
      <c r="BR264" s="374"/>
      <c r="BS264" s="374"/>
      <c r="BT264" s="373">
        <f>SUM(L264:BO264)</f>
        <v>0</v>
      </c>
      <c r="BU264" s="377"/>
      <c r="BV264" s="373"/>
      <c r="BW264" s="9"/>
      <c r="BZ264" s="10"/>
      <c r="CA264" s="10"/>
    </row>
    <row r="265" spans="4:79" ht="12.75" customHeight="1" x14ac:dyDescent="0.2">
      <c r="D265" s="9" t="s">
        <v>346</v>
      </c>
      <c r="F265" s="320"/>
      <c r="G265" s="385">
        <v>0</v>
      </c>
      <c r="H265" s="386"/>
      <c r="I265" s="373"/>
      <c r="J265" s="374"/>
      <c r="K265" s="320"/>
      <c r="L265" s="385">
        <v>0</v>
      </c>
      <c r="M265" s="386"/>
      <c r="N265" s="373"/>
      <c r="O265" s="374"/>
      <c r="P265" s="320"/>
      <c r="Q265" s="385">
        <v>0</v>
      </c>
      <c r="R265" s="386"/>
      <c r="S265" s="373"/>
      <c r="T265" s="374"/>
      <c r="U265" s="320"/>
      <c r="V265" s="385">
        <v>0</v>
      </c>
      <c r="W265" s="386"/>
      <c r="X265" s="373"/>
      <c r="Y265" s="374"/>
      <c r="Z265" s="320"/>
      <c r="AA265" s="385">
        <v>0</v>
      </c>
      <c r="AB265" s="386"/>
      <c r="AC265" s="373"/>
      <c r="AD265" s="374"/>
      <c r="AE265" s="320"/>
      <c r="AF265" s="385">
        <v>0</v>
      </c>
      <c r="AG265" s="386"/>
      <c r="AH265" s="373"/>
      <c r="AI265" s="374"/>
      <c r="AJ265" s="320"/>
      <c r="AK265" s="385">
        <v>0</v>
      </c>
      <c r="AL265" s="386"/>
      <c r="AM265" s="373"/>
      <c r="AN265" s="374"/>
      <c r="AO265" s="320"/>
      <c r="AP265" s="385">
        <v>0</v>
      </c>
      <c r="AQ265" s="386"/>
      <c r="AR265" s="373"/>
      <c r="AS265" s="374"/>
      <c r="AT265" s="387"/>
      <c r="AU265" s="385">
        <v>0</v>
      </c>
      <c r="AV265" s="386"/>
      <c r="AW265" s="373"/>
      <c r="AX265" s="374"/>
      <c r="AY265" s="387"/>
      <c r="AZ265" s="385">
        <v>0</v>
      </c>
      <c r="BA265" s="386"/>
      <c r="BB265" s="373"/>
      <c r="BC265" s="374"/>
      <c r="BD265" s="387"/>
      <c r="BE265" s="385">
        <v>0</v>
      </c>
      <c r="BF265" s="386"/>
      <c r="BG265" s="373"/>
      <c r="BH265" s="374"/>
      <c r="BI265" s="387"/>
      <c r="BJ265" s="385">
        <v>0</v>
      </c>
      <c r="BK265" s="386"/>
      <c r="BL265" s="373"/>
      <c r="BM265" s="374"/>
      <c r="BN265" s="387"/>
      <c r="BO265" s="385">
        <v>0</v>
      </c>
      <c r="BP265" s="386"/>
      <c r="BQ265" s="373"/>
      <c r="BR265" s="374"/>
      <c r="BS265" s="387"/>
      <c r="BT265" s="385">
        <f>SUM(L265:BO265)</f>
        <v>0</v>
      </c>
      <c r="BU265" s="386"/>
      <c r="BV265" s="373"/>
      <c r="BW265" s="9"/>
      <c r="BZ265" s="10"/>
      <c r="CA265" s="10"/>
    </row>
    <row r="266" spans="4:79" ht="12.75" customHeight="1" x14ac:dyDescent="0.2">
      <c r="D266" s="9"/>
      <c r="G266" s="373"/>
      <c r="H266" s="373"/>
      <c r="I266" s="373"/>
      <c r="J266" s="374"/>
      <c r="L266" s="373"/>
      <c r="M266" s="373"/>
      <c r="N266" s="373"/>
      <c r="O266" s="374"/>
      <c r="Q266" s="373"/>
      <c r="R266" s="373"/>
      <c r="S266" s="373"/>
      <c r="T266" s="374"/>
      <c r="V266" s="373"/>
      <c r="W266" s="373"/>
      <c r="X266" s="373"/>
      <c r="Y266" s="374"/>
      <c r="AA266" s="373"/>
      <c r="AB266" s="373"/>
      <c r="AC266" s="373"/>
      <c r="AD266" s="374"/>
      <c r="AF266" s="373"/>
      <c r="AG266" s="373"/>
      <c r="AH266" s="373"/>
      <c r="AI266" s="374"/>
      <c r="AK266" s="373"/>
      <c r="AL266" s="373"/>
      <c r="AM266" s="373"/>
      <c r="AN266" s="374"/>
      <c r="AP266" s="373"/>
      <c r="AQ266" s="373"/>
      <c r="AR266" s="373"/>
      <c r="AS266" s="374"/>
      <c r="AT266" s="373"/>
      <c r="AU266" s="373"/>
      <c r="AV266" s="373"/>
      <c r="AW266" s="373"/>
      <c r="AX266" s="374"/>
      <c r="AY266" s="373"/>
      <c r="AZ266" s="373"/>
      <c r="BA266" s="373"/>
      <c r="BB266" s="373"/>
      <c r="BC266" s="374"/>
      <c r="BD266" s="373"/>
      <c r="BE266" s="373"/>
      <c r="BF266" s="373"/>
      <c r="BG266" s="373"/>
      <c r="BH266" s="374"/>
      <c r="BI266" s="373"/>
      <c r="BJ266" s="373"/>
      <c r="BK266" s="373"/>
      <c r="BL266" s="373"/>
      <c r="BM266" s="374"/>
      <c r="BN266" s="373"/>
      <c r="BO266" s="373"/>
      <c r="BP266" s="373"/>
      <c r="BQ266" s="373"/>
      <c r="BR266" s="374"/>
      <c r="BS266" s="373"/>
      <c r="BT266" s="373"/>
      <c r="BU266" s="373"/>
      <c r="BV266" s="373"/>
      <c r="BW266" s="9"/>
      <c r="BZ266" s="10"/>
      <c r="CA266" s="10"/>
    </row>
    <row r="267" spans="4:79" ht="12.75" customHeight="1" x14ac:dyDescent="0.2">
      <c r="D267" s="9" t="s">
        <v>401</v>
      </c>
      <c r="E267" s="397"/>
      <c r="G267" s="373">
        <f>SUM(G268:G270)</f>
        <v>0</v>
      </c>
      <c r="H267" s="373"/>
      <c r="I267" s="373"/>
      <c r="J267" s="374"/>
      <c r="L267" s="373">
        <f>SUM(L268:L270)</f>
        <v>0</v>
      </c>
      <c r="M267" s="373"/>
      <c r="N267" s="373"/>
      <c r="O267" s="374"/>
      <c r="Q267" s="373">
        <f>SUM(Q268:Q270)</f>
        <v>0</v>
      </c>
      <c r="R267" s="373"/>
      <c r="S267" s="373"/>
      <c r="T267" s="374"/>
      <c r="V267" s="373">
        <f>SUM(V268:V270)</f>
        <v>0</v>
      </c>
      <c r="W267" s="373"/>
      <c r="X267" s="373"/>
      <c r="Y267" s="374"/>
      <c r="AA267" s="373">
        <f>SUM(AA268:AA270)</f>
        <v>0</v>
      </c>
      <c r="AB267" s="373"/>
      <c r="AC267" s="373"/>
      <c r="AD267" s="374"/>
      <c r="AF267" s="373">
        <f>SUM(AF268:AF270)</f>
        <v>0</v>
      </c>
      <c r="AG267" s="373"/>
      <c r="AH267" s="373"/>
      <c r="AI267" s="374"/>
      <c r="AK267" s="373">
        <f>SUM(AK268:AK270)</f>
        <v>0</v>
      </c>
      <c r="AL267" s="373"/>
      <c r="AM267" s="373"/>
      <c r="AN267" s="374"/>
      <c r="AP267" s="373">
        <f>SUM(AP268:AP270)</f>
        <v>0</v>
      </c>
      <c r="AQ267" s="373"/>
      <c r="AR267" s="373"/>
      <c r="AS267" s="374"/>
      <c r="AU267" s="373">
        <f>SUM(AU268:AU270)</f>
        <v>0</v>
      </c>
      <c r="AV267" s="373"/>
      <c r="AW267" s="373"/>
      <c r="AX267" s="374"/>
      <c r="AZ267" s="373">
        <f>SUM(AZ268:AZ270)</f>
        <v>0</v>
      </c>
      <c r="BA267" s="373"/>
      <c r="BB267" s="373"/>
      <c r="BC267" s="374"/>
      <c r="BE267" s="373">
        <f>SUM(BE268:BE270)</f>
        <v>0</v>
      </c>
      <c r="BF267" s="373"/>
      <c r="BG267" s="373"/>
      <c r="BH267" s="374"/>
      <c r="BJ267" s="373">
        <f>SUM(BJ268:BJ270)</f>
        <v>0</v>
      </c>
      <c r="BK267" s="373"/>
      <c r="BL267" s="373"/>
      <c r="BM267" s="374"/>
      <c r="BO267" s="373">
        <f>SUM(BO268:BO270)</f>
        <v>0</v>
      </c>
      <c r="BP267" s="373"/>
      <c r="BQ267" s="373"/>
      <c r="BR267" s="374"/>
      <c r="BT267" s="373">
        <f>SUM(BT268:BT270)</f>
        <v>0</v>
      </c>
      <c r="BU267" s="373"/>
      <c r="BV267" s="373"/>
      <c r="BW267" s="9"/>
      <c r="BZ267" s="10"/>
      <c r="CA267" s="10"/>
    </row>
    <row r="268" spans="4:79" ht="12.75" customHeight="1" x14ac:dyDescent="0.2">
      <c r="D268" s="9" t="s">
        <v>343</v>
      </c>
      <c r="E268" s="397"/>
      <c r="F268" s="309"/>
      <c r="G268" s="371">
        <v>0</v>
      </c>
      <c r="H268" s="372"/>
      <c r="I268" s="373"/>
      <c r="J268" s="374"/>
      <c r="K268" s="309"/>
      <c r="L268" s="371">
        <v>0</v>
      </c>
      <c r="M268" s="372"/>
      <c r="N268" s="373"/>
      <c r="O268" s="374"/>
      <c r="P268" s="309"/>
      <c r="Q268" s="371">
        <v>0</v>
      </c>
      <c r="R268" s="372"/>
      <c r="S268" s="373"/>
      <c r="T268" s="374"/>
      <c r="U268" s="309"/>
      <c r="V268" s="371">
        <v>0</v>
      </c>
      <c r="W268" s="372"/>
      <c r="X268" s="373"/>
      <c r="Y268" s="374"/>
      <c r="Z268" s="309"/>
      <c r="AA268" s="371">
        <v>0</v>
      </c>
      <c r="AB268" s="372"/>
      <c r="AC268" s="373"/>
      <c r="AD268" s="374"/>
      <c r="AE268" s="309"/>
      <c r="AF268" s="371">
        <v>0</v>
      </c>
      <c r="AG268" s="372"/>
      <c r="AH268" s="373"/>
      <c r="AI268" s="374"/>
      <c r="AJ268" s="309"/>
      <c r="AK268" s="371">
        <v>0</v>
      </c>
      <c r="AL268" s="372"/>
      <c r="AM268" s="373"/>
      <c r="AN268" s="374"/>
      <c r="AO268" s="309"/>
      <c r="AP268" s="371">
        <v>0</v>
      </c>
      <c r="AQ268" s="372"/>
      <c r="AR268" s="373"/>
      <c r="AS268" s="374"/>
      <c r="AT268" s="309"/>
      <c r="AU268" s="371">
        <v>0</v>
      </c>
      <c r="AV268" s="372"/>
      <c r="AW268" s="373"/>
      <c r="AX268" s="374"/>
      <c r="AY268" s="309"/>
      <c r="AZ268" s="371">
        <v>0</v>
      </c>
      <c r="BA268" s="372"/>
      <c r="BB268" s="373"/>
      <c r="BC268" s="374"/>
      <c r="BD268" s="309"/>
      <c r="BE268" s="371">
        <v>0</v>
      </c>
      <c r="BF268" s="372"/>
      <c r="BG268" s="373"/>
      <c r="BH268" s="374"/>
      <c r="BI268" s="309"/>
      <c r="BJ268" s="371">
        <v>0</v>
      </c>
      <c r="BK268" s="372"/>
      <c r="BL268" s="373"/>
      <c r="BM268" s="374"/>
      <c r="BN268" s="309"/>
      <c r="BO268" s="371">
        <v>0</v>
      </c>
      <c r="BP268" s="372"/>
      <c r="BQ268" s="373"/>
      <c r="BR268" s="374"/>
      <c r="BS268" s="309"/>
      <c r="BT268" s="371">
        <f>SUM(L268:BO268)</f>
        <v>0</v>
      </c>
      <c r="BU268" s="372"/>
      <c r="BV268" s="373"/>
      <c r="BW268" s="9"/>
      <c r="BZ268" s="10"/>
      <c r="CA268" s="10"/>
    </row>
    <row r="269" spans="4:79" ht="12.75" customHeight="1" x14ac:dyDescent="0.2">
      <c r="D269" s="9" t="s">
        <v>345</v>
      </c>
      <c r="E269" s="397"/>
      <c r="F269" s="156"/>
      <c r="G269" s="373">
        <v>0</v>
      </c>
      <c r="H269" s="377"/>
      <c r="I269" s="373"/>
      <c r="J269" s="374"/>
      <c r="K269" s="156"/>
      <c r="L269" s="373">
        <v>0</v>
      </c>
      <c r="M269" s="377"/>
      <c r="N269" s="373"/>
      <c r="O269" s="374"/>
      <c r="P269" s="156"/>
      <c r="Q269" s="373">
        <v>0</v>
      </c>
      <c r="R269" s="377"/>
      <c r="S269" s="373"/>
      <c r="T269" s="374"/>
      <c r="U269" s="156"/>
      <c r="V269" s="373">
        <v>0</v>
      </c>
      <c r="W269" s="377"/>
      <c r="X269" s="373"/>
      <c r="Y269" s="374"/>
      <c r="Z269" s="156"/>
      <c r="AA269" s="373">
        <v>0</v>
      </c>
      <c r="AB269" s="377"/>
      <c r="AC269" s="373"/>
      <c r="AD269" s="374"/>
      <c r="AE269" s="156"/>
      <c r="AF269" s="373">
        <v>0</v>
      </c>
      <c r="AG269" s="377"/>
      <c r="AH269" s="373"/>
      <c r="AI269" s="374"/>
      <c r="AJ269" s="156"/>
      <c r="AK269" s="373">
        <v>0</v>
      </c>
      <c r="AL269" s="377"/>
      <c r="AM269" s="373"/>
      <c r="AN269" s="374"/>
      <c r="AO269" s="156"/>
      <c r="AP269" s="373">
        <v>0</v>
      </c>
      <c r="AQ269" s="377"/>
      <c r="AR269" s="373"/>
      <c r="AS269" s="374"/>
      <c r="AT269" s="156"/>
      <c r="AU269" s="373">
        <v>0</v>
      </c>
      <c r="AV269" s="377"/>
      <c r="AW269" s="373"/>
      <c r="AX269" s="374"/>
      <c r="AY269" s="156"/>
      <c r="AZ269" s="373">
        <v>0</v>
      </c>
      <c r="BA269" s="377"/>
      <c r="BB269" s="373"/>
      <c r="BC269" s="374"/>
      <c r="BD269" s="156"/>
      <c r="BE269" s="373">
        <v>0</v>
      </c>
      <c r="BF269" s="377"/>
      <c r="BG269" s="373"/>
      <c r="BH269" s="374"/>
      <c r="BI269" s="156"/>
      <c r="BJ269" s="373">
        <v>0</v>
      </c>
      <c r="BK269" s="377"/>
      <c r="BL269" s="373"/>
      <c r="BM269" s="374"/>
      <c r="BN269" s="156"/>
      <c r="BO269" s="373">
        <v>0</v>
      </c>
      <c r="BP269" s="377"/>
      <c r="BQ269" s="373"/>
      <c r="BR269" s="374"/>
      <c r="BS269" s="156"/>
      <c r="BT269" s="373">
        <f>SUM(L269:BO269)</f>
        <v>0</v>
      </c>
      <c r="BU269" s="377"/>
      <c r="BV269" s="373"/>
      <c r="BW269" s="9"/>
      <c r="BZ269" s="10"/>
      <c r="CA269" s="10"/>
    </row>
    <row r="270" spans="4:79" ht="12.75" customHeight="1" x14ac:dyDescent="0.2">
      <c r="D270" s="9" t="s">
        <v>346</v>
      </c>
      <c r="E270" s="397"/>
      <c r="F270" s="320"/>
      <c r="G270" s="385">
        <v>0</v>
      </c>
      <c r="H270" s="386"/>
      <c r="I270" s="373"/>
      <c r="J270" s="374"/>
      <c r="K270" s="320"/>
      <c r="L270" s="385">
        <v>0</v>
      </c>
      <c r="M270" s="386"/>
      <c r="N270" s="373"/>
      <c r="O270" s="374"/>
      <c r="P270" s="320"/>
      <c r="Q270" s="385">
        <v>0</v>
      </c>
      <c r="R270" s="386"/>
      <c r="S270" s="373"/>
      <c r="T270" s="374"/>
      <c r="U270" s="320"/>
      <c r="V270" s="385">
        <v>0</v>
      </c>
      <c r="W270" s="386"/>
      <c r="X270" s="373"/>
      <c r="Y270" s="374"/>
      <c r="Z270" s="320"/>
      <c r="AA270" s="385">
        <v>0</v>
      </c>
      <c r="AB270" s="386"/>
      <c r="AC270" s="373"/>
      <c r="AD270" s="374"/>
      <c r="AE270" s="320"/>
      <c r="AF270" s="385">
        <v>0</v>
      </c>
      <c r="AG270" s="386"/>
      <c r="AH270" s="373"/>
      <c r="AI270" s="374"/>
      <c r="AJ270" s="320"/>
      <c r="AK270" s="385">
        <v>0</v>
      </c>
      <c r="AL270" s="386"/>
      <c r="AM270" s="373"/>
      <c r="AN270" s="374"/>
      <c r="AO270" s="320"/>
      <c r="AP270" s="385">
        <v>0</v>
      </c>
      <c r="AQ270" s="386"/>
      <c r="AR270" s="373"/>
      <c r="AS270" s="374"/>
      <c r="AT270" s="320"/>
      <c r="AU270" s="385">
        <v>0</v>
      </c>
      <c r="AV270" s="386"/>
      <c r="AW270" s="373"/>
      <c r="AX270" s="374"/>
      <c r="AY270" s="320"/>
      <c r="AZ270" s="385">
        <v>0</v>
      </c>
      <c r="BA270" s="386"/>
      <c r="BB270" s="373"/>
      <c r="BC270" s="374"/>
      <c r="BD270" s="320"/>
      <c r="BE270" s="385">
        <v>0</v>
      </c>
      <c r="BF270" s="386"/>
      <c r="BG270" s="373"/>
      <c r="BH270" s="374"/>
      <c r="BI270" s="320"/>
      <c r="BJ270" s="385">
        <v>0</v>
      </c>
      <c r="BK270" s="386"/>
      <c r="BL270" s="373"/>
      <c r="BM270" s="374"/>
      <c r="BN270" s="320"/>
      <c r="BO270" s="385">
        <v>0</v>
      </c>
      <c r="BP270" s="386"/>
      <c r="BQ270" s="373"/>
      <c r="BR270" s="374"/>
      <c r="BS270" s="320"/>
      <c r="BT270" s="385">
        <f>SUM(L270:BO270)</f>
        <v>0</v>
      </c>
      <c r="BU270" s="386"/>
      <c r="BV270" s="373"/>
      <c r="BW270" s="9"/>
      <c r="BZ270" s="10"/>
      <c r="CA270" s="10"/>
    </row>
    <row r="271" spans="4:79" ht="12.75" customHeight="1" x14ac:dyDescent="0.2">
      <c r="D271" s="9"/>
      <c r="E271" s="397"/>
      <c r="G271" s="373"/>
      <c r="H271" s="373"/>
      <c r="I271" s="373"/>
      <c r="J271" s="374"/>
      <c r="L271" s="373"/>
      <c r="M271" s="373"/>
      <c r="N271" s="373"/>
      <c r="O271" s="374"/>
      <c r="Q271" s="373"/>
      <c r="R271" s="373"/>
      <c r="S271" s="373"/>
      <c r="T271" s="374"/>
      <c r="V271" s="373"/>
      <c r="W271" s="373"/>
      <c r="X271" s="373"/>
      <c r="Y271" s="374"/>
      <c r="AA271" s="373"/>
      <c r="AB271" s="373"/>
      <c r="AC271" s="373"/>
      <c r="AD271" s="374"/>
      <c r="AF271" s="373"/>
      <c r="AG271" s="373"/>
      <c r="AH271" s="373"/>
      <c r="AI271" s="374"/>
      <c r="AK271" s="373"/>
      <c r="AL271" s="373"/>
      <c r="AM271" s="373"/>
      <c r="AN271" s="374"/>
      <c r="AP271" s="373"/>
      <c r="AQ271" s="373"/>
      <c r="AR271" s="373"/>
      <c r="AS271" s="374"/>
      <c r="AU271" s="373"/>
      <c r="AV271" s="373"/>
      <c r="AW271" s="373"/>
      <c r="AX271" s="374"/>
      <c r="AZ271" s="373"/>
      <c r="BA271" s="373"/>
      <c r="BB271" s="373"/>
      <c r="BC271" s="374"/>
      <c r="BE271" s="373"/>
      <c r="BF271" s="373"/>
      <c r="BG271" s="373"/>
      <c r="BH271" s="374"/>
      <c r="BJ271" s="373"/>
      <c r="BK271" s="373"/>
      <c r="BL271" s="373"/>
      <c r="BM271" s="374"/>
      <c r="BO271" s="373"/>
      <c r="BP271" s="373"/>
      <c r="BQ271" s="373"/>
      <c r="BR271" s="374"/>
      <c r="BT271" s="373"/>
      <c r="BU271" s="373"/>
      <c r="BV271" s="373"/>
      <c r="BW271" s="9"/>
      <c r="BZ271" s="10"/>
      <c r="CA271" s="10"/>
    </row>
    <row r="272" spans="4:79" ht="12.75" customHeight="1" x14ac:dyDescent="0.2">
      <c r="D272" s="9" t="s">
        <v>402</v>
      </c>
      <c r="G272" s="373">
        <f>SUM(G273:G275)</f>
        <v>0</v>
      </c>
      <c r="H272" s="373"/>
      <c r="I272" s="373"/>
      <c r="J272" s="374"/>
      <c r="K272" s="373"/>
      <c r="L272" s="373">
        <f>SUM(L273:L275)</f>
        <v>0</v>
      </c>
      <c r="M272" s="373"/>
      <c r="N272" s="373"/>
      <c r="O272" s="374"/>
      <c r="P272" s="373"/>
      <c r="Q272" s="373">
        <f>SUM(Q273:Q275)</f>
        <v>0</v>
      </c>
      <c r="R272" s="373"/>
      <c r="S272" s="373"/>
      <c r="T272" s="374"/>
      <c r="U272" s="373"/>
      <c r="V272" s="373">
        <f>SUM(V273:V275)</f>
        <v>0</v>
      </c>
      <c r="W272" s="373"/>
      <c r="X272" s="373"/>
      <c r="Y272" s="374"/>
      <c r="Z272" s="373"/>
      <c r="AA272" s="373">
        <f>SUM(AA273:AA275)</f>
        <v>0</v>
      </c>
      <c r="AB272" s="373"/>
      <c r="AC272" s="373"/>
      <c r="AD272" s="374"/>
      <c r="AE272" s="373"/>
      <c r="AF272" s="373">
        <f>SUM(AF273:AF275)</f>
        <v>0</v>
      </c>
      <c r="AG272" s="373"/>
      <c r="AH272" s="373"/>
      <c r="AI272" s="374"/>
      <c r="AJ272" s="373"/>
      <c r="AK272" s="373">
        <f>SUM(AK273:AK275)</f>
        <v>0</v>
      </c>
      <c r="AL272" s="373"/>
      <c r="AM272" s="373"/>
      <c r="AN272" s="374"/>
      <c r="AO272" s="373"/>
      <c r="AP272" s="373">
        <f>SUM(AP273:AP275)</f>
        <v>0</v>
      </c>
      <c r="AQ272" s="373"/>
      <c r="AR272" s="373"/>
      <c r="AS272" s="374"/>
      <c r="AT272" s="373"/>
      <c r="AU272" s="373">
        <f>SUM(AU273:AU275)</f>
        <v>0</v>
      </c>
      <c r="AV272" s="373"/>
      <c r="AW272" s="373"/>
      <c r="AX272" s="374"/>
      <c r="AY272" s="373"/>
      <c r="AZ272" s="373">
        <f>SUM(AZ273:AZ275)</f>
        <v>0</v>
      </c>
      <c r="BA272" s="373"/>
      <c r="BB272" s="373"/>
      <c r="BC272" s="374"/>
      <c r="BD272" s="373"/>
      <c r="BE272" s="373">
        <f>SUM(BE273:BE275)</f>
        <v>0</v>
      </c>
      <c r="BF272" s="373"/>
      <c r="BG272" s="373"/>
      <c r="BH272" s="374"/>
      <c r="BI272" s="373"/>
      <c r="BJ272" s="373">
        <f>SUM(BJ273:BJ275)</f>
        <v>0</v>
      </c>
      <c r="BK272" s="373"/>
      <c r="BL272" s="373"/>
      <c r="BM272" s="374"/>
      <c r="BN272" s="373"/>
      <c r="BO272" s="373">
        <f>SUM(BO273:BO275)</f>
        <v>0</v>
      </c>
      <c r="BP272" s="373"/>
      <c r="BQ272" s="373"/>
      <c r="BR272" s="374"/>
      <c r="BS272" s="373"/>
      <c r="BT272" s="373">
        <f>SUM(BT273:BT275)</f>
        <v>0</v>
      </c>
      <c r="BU272" s="373"/>
      <c r="BV272" s="373"/>
      <c r="BW272" s="9"/>
      <c r="BZ272" s="10"/>
      <c r="CA272" s="10"/>
    </row>
    <row r="273" spans="4:79" ht="12.75" customHeight="1" x14ac:dyDescent="0.2">
      <c r="D273" s="9" t="s">
        <v>343</v>
      </c>
      <c r="F273" s="309"/>
      <c r="G273" s="371">
        <v>0</v>
      </c>
      <c r="H273" s="372"/>
      <c r="I273" s="373"/>
      <c r="J273" s="374"/>
      <c r="K273" s="375"/>
      <c r="L273" s="371">
        <v>0</v>
      </c>
      <c r="M273" s="372"/>
      <c r="N273" s="373"/>
      <c r="O273" s="374"/>
      <c r="P273" s="375"/>
      <c r="Q273" s="371">
        <v>0</v>
      </c>
      <c r="R273" s="372"/>
      <c r="S273" s="373"/>
      <c r="T273" s="374"/>
      <c r="U273" s="375"/>
      <c r="V273" s="371">
        <v>0</v>
      </c>
      <c r="W273" s="372"/>
      <c r="X273" s="373"/>
      <c r="Y273" s="374"/>
      <c r="Z273" s="375"/>
      <c r="AA273" s="371">
        <v>0</v>
      </c>
      <c r="AB273" s="372"/>
      <c r="AC273" s="373"/>
      <c r="AD273" s="374"/>
      <c r="AE273" s="375"/>
      <c r="AF273" s="371">
        <v>0</v>
      </c>
      <c r="AG273" s="372"/>
      <c r="AH273" s="373"/>
      <c r="AI273" s="374"/>
      <c r="AJ273" s="375"/>
      <c r="AK273" s="371">
        <v>0</v>
      </c>
      <c r="AL273" s="372"/>
      <c r="AM273" s="373"/>
      <c r="AN273" s="374"/>
      <c r="AO273" s="375"/>
      <c r="AP273" s="371">
        <v>0</v>
      </c>
      <c r="AQ273" s="372"/>
      <c r="AR273" s="373"/>
      <c r="AS273" s="374"/>
      <c r="AT273" s="375"/>
      <c r="AU273" s="371">
        <v>0</v>
      </c>
      <c r="AV273" s="372"/>
      <c r="AW273" s="373"/>
      <c r="AX273" s="374"/>
      <c r="AY273" s="375"/>
      <c r="AZ273" s="371">
        <v>0</v>
      </c>
      <c r="BA273" s="372"/>
      <c r="BB273" s="373"/>
      <c r="BC273" s="374"/>
      <c r="BD273" s="375"/>
      <c r="BE273" s="371">
        <v>0</v>
      </c>
      <c r="BF273" s="372"/>
      <c r="BG273" s="373"/>
      <c r="BH273" s="374"/>
      <c r="BI273" s="375"/>
      <c r="BJ273" s="371">
        <v>0</v>
      </c>
      <c r="BK273" s="372"/>
      <c r="BL273" s="373"/>
      <c r="BM273" s="374"/>
      <c r="BN273" s="375"/>
      <c r="BO273" s="371">
        <v>0</v>
      </c>
      <c r="BP273" s="372"/>
      <c r="BQ273" s="373"/>
      <c r="BR273" s="374"/>
      <c r="BS273" s="375"/>
      <c r="BT273" s="371">
        <f>SUM(L273:BO273)</f>
        <v>0</v>
      </c>
      <c r="BU273" s="372"/>
      <c r="BV273" s="373"/>
      <c r="BW273" s="9"/>
      <c r="BZ273" s="10"/>
      <c r="CA273" s="10"/>
    </row>
    <row r="274" spans="4:79" ht="12.75" customHeight="1" x14ac:dyDescent="0.2">
      <c r="D274" s="9" t="s">
        <v>345</v>
      </c>
      <c r="F274" s="156"/>
      <c r="G274" s="373">
        <v>0</v>
      </c>
      <c r="H274" s="377"/>
      <c r="I274" s="373"/>
      <c r="J274" s="374"/>
      <c r="K274" s="374"/>
      <c r="L274" s="373">
        <v>0</v>
      </c>
      <c r="M274" s="377"/>
      <c r="N274" s="373"/>
      <c r="O274" s="374"/>
      <c r="P274" s="374"/>
      <c r="Q274" s="373">
        <v>0</v>
      </c>
      <c r="R274" s="377"/>
      <c r="S274" s="373"/>
      <c r="T274" s="374"/>
      <c r="U274" s="374"/>
      <c r="V274" s="373">
        <v>0</v>
      </c>
      <c r="W274" s="377"/>
      <c r="X274" s="373"/>
      <c r="Y274" s="374"/>
      <c r="Z274" s="374"/>
      <c r="AA274" s="373">
        <v>0</v>
      </c>
      <c r="AB274" s="377"/>
      <c r="AC274" s="373"/>
      <c r="AD274" s="374"/>
      <c r="AE274" s="374"/>
      <c r="AF274" s="373">
        <v>0</v>
      </c>
      <c r="AG274" s="377"/>
      <c r="AH274" s="373"/>
      <c r="AI274" s="374"/>
      <c r="AJ274" s="374"/>
      <c r="AK274" s="373">
        <v>0</v>
      </c>
      <c r="AL274" s="377"/>
      <c r="AM274" s="373"/>
      <c r="AN274" s="374"/>
      <c r="AO274" s="374"/>
      <c r="AP274" s="373">
        <v>0</v>
      </c>
      <c r="AQ274" s="377"/>
      <c r="AR274" s="373"/>
      <c r="AS274" s="374"/>
      <c r="AT274" s="374"/>
      <c r="AU274" s="373">
        <v>0</v>
      </c>
      <c r="AV274" s="377"/>
      <c r="AW274" s="373"/>
      <c r="AX274" s="374"/>
      <c r="AY274" s="374"/>
      <c r="AZ274" s="373">
        <v>0</v>
      </c>
      <c r="BA274" s="377"/>
      <c r="BB274" s="373"/>
      <c r="BC274" s="374"/>
      <c r="BD274" s="374"/>
      <c r="BE274" s="373">
        <v>0</v>
      </c>
      <c r="BF274" s="377"/>
      <c r="BG274" s="373"/>
      <c r="BH274" s="374"/>
      <c r="BI274" s="374"/>
      <c r="BJ274" s="373">
        <v>0</v>
      </c>
      <c r="BK274" s="377"/>
      <c r="BL274" s="373"/>
      <c r="BM274" s="374"/>
      <c r="BN274" s="374"/>
      <c r="BO274" s="373">
        <v>0</v>
      </c>
      <c r="BP274" s="377"/>
      <c r="BQ274" s="373"/>
      <c r="BR274" s="374"/>
      <c r="BS274" s="374"/>
      <c r="BT274" s="373">
        <f>SUM(L274:BO274)</f>
        <v>0</v>
      </c>
      <c r="BU274" s="377"/>
      <c r="BV274" s="373"/>
      <c r="BW274" s="9"/>
      <c r="BZ274" s="10"/>
      <c r="CA274" s="10"/>
    </row>
    <row r="275" spans="4:79" ht="12.75" customHeight="1" x14ac:dyDescent="0.2">
      <c r="D275" s="9" t="s">
        <v>346</v>
      </c>
      <c r="F275" s="320"/>
      <c r="G275" s="385">
        <v>0</v>
      </c>
      <c r="H275" s="386"/>
      <c r="I275" s="373"/>
      <c r="J275" s="374"/>
      <c r="K275" s="387"/>
      <c r="L275" s="385">
        <v>0</v>
      </c>
      <c r="M275" s="386"/>
      <c r="N275" s="373"/>
      <c r="O275" s="374"/>
      <c r="P275" s="387"/>
      <c r="Q275" s="385">
        <v>0</v>
      </c>
      <c r="R275" s="386"/>
      <c r="S275" s="373"/>
      <c r="T275" s="374"/>
      <c r="U275" s="387"/>
      <c r="V275" s="385">
        <v>0</v>
      </c>
      <c r="W275" s="386"/>
      <c r="X275" s="373"/>
      <c r="Y275" s="374"/>
      <c r="Z275" s="387"/>
      <c r="AA275" s="385">
        <v>0</v>
      </c>
      <c r="AB275" s="386"/>
      <c r="AC275" s="373"/>
      <c r="AD275" s="374"/>
      <c r="AE275" s="387"/>
      <c r="AF275" s="385">
        <v>0</v>
      </c>
      <c r="AG275" s="386"/>
      <c r="AH275" s="373"/>
      <c r="AI275" s="374"/>
      <c r="AJ275" s="387"/>
      <c r="AK275" s="385">
        <v>0</v>
      </c>
      <c r="AL275" s="386"/>
      <c r="AM275" s="373"/>
      <c r="AN275" s="374"/>
      <c r="AO275" s="387"/>
      <c r="AP275" s="385">
        <v>0</v>
      </c>
      <c r="AQ275" s="386"/>
      <c r="AR275" s="373"/>
      <c r="AS275" s="374"/>
      <c r="AT275" s="387"/>
      <c r="AU275" s="385">
        <v>0</v>
      </c>
      <c r="AV275" s="386"/>
      <c r="AW275" s="373"/>
      <c r="AX275" s="374"/>
      <c r="AY275" s="387"/>
      <c r="AZ275" s="385">
        <v>0</v>
      </c>
      <c r="BA275" s="386"/>
      <c r="BB275" s="373"/>
      <c r="BC275" s="374"/>
      <c r="BD275" s="387"/>
      <c r="BE275" s="385">
        <v>0</v>
      </c>
      <c r="BF275" s="386"/>
      <c r="BG275" s="373"/>
      <c r="BH275" s="374"/>
      <c r="BI275" s="387"/>
      <c r="BJ275" s="385">
        <v>0</v>
      </c>
      <c r="BK275" s="386"/>
      <c r="BL275" s="373"/>
      <c r="BM275" s="374"/>
      <c r="BN275" s="387"/>
      <c r="BO275" s="385">
        <v>0</v>
      </c>
      <c r="BP275" s="386"/>
      <c r="BQ275" s="373"/>
      <c r="BR275" s="374"/>
      <c r="BS275" s="387"/>
      <c r="BT275" s="385">
        <f>SUM(L275:BO275)</f>
        <v>0</v>
      </c>
      <c r="BU275" s="386"/>
      <c r="BV275" s="373"/>
      <c r="BW275" s="9"/>
      <c r="BZ275" s="10"/>
      <c r="CA275" s="10"/>
    </row>
    <row r="276" spans="4:79" x14ac:dyDescent="0.2">
      <c r="D276" s="9"/>
      <c r="E276" s="397"/>
      <c r="G276" s="373"/>
      <c r="H276" s="373"/>
      <c r="I276" s="373"/>
      <c r="J276" s="374"/>
      <c r="L276" s="373"/>
      <c r="M276" s="373"/>
      <c r="N276" s="373"/>
      <c r="O276" s="374"/>
      <c r="Q276" s="373"/>
      <c r="R276" s="373"/>
      <c r="S276" s="373"/>
      <c r="T276" s="374"/>
      <c r="V276" s="373"/>
      <c r="W276" s="373"/>
      <c r="X276" s="373"/>
      <c r="Y276" s="374"/>
      <c r="AA276" s="373"/>
      <c r="AB276" s="373"/>
      <c r="AC276" s="373"/>
      <c r="AD276" s="374"/>
      <c r="AF276" s="373"/>
      <c r="AG276" s="373"/>
      <c r="AH276" s="373"/>
      <c r="AI276" s="374"/>
      <c r="AK276" s="373"/>
      <c r="AL276" s="373"/>
      <c r="AM276" s="373"/>
      <c r="AN276" s="374"/>
      <c r="AP276" s="373"/>
      <c r="AQ276" s="373"/>
      <c r="AR276" s="373"/>
      <c r="AS276" s="374"/>
      <c r="AU276" s="373"/>
      <c r="AV276" s="373"/>
      <c r="AW276" s="373"/>
      <c r="AX276" s="374"/>
      <c r="AZ276" s="373"/>
      <c r="BA276" s="373"/>
      <c r="BB276" s="373"/>
      <c r="BC276" s="374"/>
      <c r="BE276" s="373"/>
      <c r="BF276" s="373"/>
      <c r="BG276" s="373"/>
      <c r="BH276" s="374"/>
      <c r="BJ276" s="373"/>
      <c r="BK276" s="373"/>
      <c r="BL276" s="373"/>
      <c r="BM276" s="374"/>
      <c r="BO276" s="373"/>
      <c r="BP276" s="373"/>
      <c r="BQ276" s="373"/>
      <c r="BR276" s="374"/>
      <c r="BT276" s="373"/>
      <c r="BU276" s="373"/>
      <c r="BV276" s="373"/>
      <c r="BW276" s="9"/>
      <c r="BZ276" s="10"/>
      <c r="CA276" s="10"/>
    </row>
    <row r="277" spans="4:79" s="10" customFormat="1" x14ac:dyDescent="0.2">
      <c r="D277" s="142" t="s">
        <v>336</v>
      </c>
      <c r="E277" s="402"/>
      <c r="F277" s="143"/>
      <c r="G277" s="368">
        <f>SUM(G278:G278)</f>
        <v>0</v>
      </c>
      <c r="H277" s="368"/>
      <c r="I277" s="368"/>
      <c r="J277" s="369"/>
      <c r="K277" s="368"/>
      <c r="L277" s="368">
        <f>SUM(L278:L278)</f>
        <v>487336</v>
      </c>
      <c r="M277" s="368"/>
      <c r="N277" s="368"/>
      <c r="O277" s="369"/>
      <c r="P277" s="368"/>
      <c r="Q277" s="368">
        <f>SUM(Q278:Q278)</f>
        <v>29682</v>
      </c>
      <c r="R277" s="368"/>
      <c r="S277" s="368"/>
      <c r="T277" s="369"/>
      <c r="U277" s="368"/>
      <c r="V277" s="368">
        <f>SUM(V278:V278)</f>
        <v>28489</v>
      </c>
      <c r="W277" s="368"/>
      <c r="X277" s="368"/>
      <c r="Y277" s="369"/>
      <c r="Z277" s="368"/>
      <c r="AA277" s="368">
        <f>SUM(AA278:AA278)</f>
        <v>0</v>
      </c>
      <c r="AB277" s="368"/>
      <c r="AC277" s="368"/>
      <c r="AD277" s="369"/>
      <c r="AE277" s="368"/>
      <c r="AF277" s="368">
        <f>SUM(AF278:AF278)</f>
        <v>41191</v>
      </c>
      <c r="AG277" s="368"/>
      <c r="AH277" s="368"/>
      <c r="AI277" s="369"/>
      <c r="AJ277" s="368"/>
      <c r="AK277" s="368">
        <f>SUM(AK278:AK278)</f>
        <v>18552</v>
      </c>
      <c r="AL277" s="368"/>
      <c r="AM277" s="368"/>
      <c r="AN277" s="369"/>
      <c r="AO277" s="149"/>
      <c r="AP277" s="368">
        <f>SUM(AP278:AP278)</f>
        <v>0</v>
      </c>
      <c r="AQ277" s="373"/>
      <c r="AR277" s="368"/>
      <c r="AS277" s="369"/>
      <c r="AT277" s="368"/>
      <c r="AU277" s="368">
        <f>SUM(AU278:AU278)</f>
        <v>85877</v>
      </c>
      <c r="AV277" s="368"/>
      <c r="AW277" s="368"/>
      <c r="AX277" s="369"/>
      <c r="AY277" s="368"/>
      <c r="AZ277" s="368">
        <f>SUM(AZ278:AZ278)</f>
        <v>204461</v>
      </c>
      <c r="BA277" s="368"/>
      <c r="BB277" s="368"/>
      <c r="BC277" s="369"/>
      <c r="BD277" s="368"/>
      <c r="BE277" s="368">
        <f>SUM(BE278:BE278)</f>
        <v>132680</v>
      </c>
      <c r="BF277" s="368"/>
      <c r="BG277" s="368"/>
      <c r="BH277" s="369"/>
      <c r="BI277" s="368"/>
      <c r="BJ277" s="368">
        <f>SUM(BJ278:BJ278)</f>
        <v>0</v>
      </c>
      <c r="BK277" s="368"/>
      <c r="BL277" s="368"/>
      <c r="BM277" s="369"/>
      <c r="BN277" s="368"/>
      <c r="BO277" s="368">
        <f>SUM(BO278:BO278)</f>
        <v>0</v>
      </c>
      <c r="BP277" s="368"/>
      <c r="BQ277" s="368"/>
      <c r="BR277" s="369"/>
      <c r="BS277" s="368"/>
      <c r="BT277" s="368">
        <f>SUM(BT278:BT278)</f>
        <v>1028268</v>
      </c>
      <c r="BU277" s="368"/>
      <c r="BV277" s="368"/>
      <c r="BW277" s="79"/>
      <c r="BY277" s="1"/>
    </row>
    <row r="278" spans="4:79" x14ac:dyDescent="0.2">
      <c r="D278" s="9" t="s">
        <v>343</v>
      </c>
      <c r="E278" s="397"/>
      <c r="F278" s="403"/>
      <c r="G278" s="379">
        <f>G284+G287+G319+G290+G296+G299+G302+G305+G307+G316+G322+G325+G328+G331+G334+G337+G340+G281+G312+G293</f>
        <v>0</v>
      </c>
      <c r="H278" s="380"/>
      <c r="I278" s="373"/>
      <c r="J278" s="374"/>
      <c r="K278" s="381"/>
      <c r="L278" s="379">
        <f>L284+L287+L319+L290+L296+L299+L302+L305+L307+L316+L322+L325+L328+L331+L334+L337+L340+L281+L312+L293</f>
        <v>487336</v>
      </c>
      <c r="M278" s="380"/>
      <c r="N278" s="373"/>
      <c r="O278" s="374"/>
      <c r="P278" s="381"/>
      <c r="Q278" s="379">
        <f>Q284+Q287+Q319+Q290+Q296+Q299+Q302+Q305+Q307+Q316+Q322+Q325+Q328+Q331+Q334+Q337+Q340+Q281+Q312+Q293</f>
        <v>29682</v>
      </c>
      <c r="R278" s="380"/>
      <c r="S278" s="373"/>
      <c r="T278" s="374"/>
      <c r="U278" s="381"/>
      <c r="V278" s="379">
        <f>V284+V287+V319+V290+V296+V299+V302+V305+V307+V316+V322+V325+V328+V331+V334+V337+V340+V281+V312+V293</f>
        <v>28489</v>
      </c>
      <c r="W278" s="380"/>
      <c r="X278" s="373"/>
      <c r="Y278" s="374"/>
      <c r="Z278" s="381"/>
      <c r="AA278" s="379">
        <f>AA284+AA287+AA319+AA290+AA296+AA299+AA302+AA305+AA307+AA316+AA322+AA325+AA328+AA331+AA334+AA337+AA340+AA281+AA312+AA293</f>
        <v>0</v>
      </c>
      <c r="AB278" s="380"/>
      <c r="AC278" s="373"/>
      <c r="AD278" s="374"/>
      <c r="AE278" s="381"/>
      <c r="AF278" s="379">
        <f>AF284+AF287+AF319+AF290+AF296+AF299+AF302+AF305+AF307+AF316+AF322+AF325+AF328+AF331+AF334+AF337+AF340+AF281+AF312+AF293</f>
        <v>41191</v>
      </c>
      <c r="AG278" s="380"/>
      <c r="AH278" s="373"/>
      <c r="AI278" s="374"/>
      <c r="AJ278" s="381"/>
      <c r="AK278" s="379">
        <f>AK284+AK287+AK319+AK290+AK296+AK299+AK302+AK305+AK307+AK316+AK322+AK325+AK328+AK331+AK334+AK337+AK340+AK281+AK312+AK293</f>
        <v>18552</v>
      </c>
      <c r="AL278" s="380"/>
      <c r="AM278" s="373"/>
      <c r="AN278" s="374"/>
      <c r="AO278" s="381"/>
      <c r="AP278" s="379">
        <f>AP284+AP287+AP319+AP290+AP296+AP299+AP302+AP305+AP307+AP316+AP322+AP325+AP328+AP331+AP334+AP337+AP340+AP281+AP312+AP293</f>
        <v>0</v>
      </c>
      <c r="AQ278" s="380"/>
      <c r="AR278" s="373"/>
      <c r="AS278" s="374"/>
      <c r="AT278" s="381"/>
      <c r="AU278" s="379">
        <f>AU284+AU287+AU319+AU290+AU296+AU299+AU302+AU305+AU307+AU316+AU322+AU325+AU328+AU331+AU334+AU337+AU340+AU281+AU312+AU293</f>
        <v>85877</v>
      </c>
      <c r="AV278" s="380"/>
      <c r="AW278" s="373"/>
      <c r="AX278" s="374"/>
      <c r="AY278" s="381"/>
      <c r="AZ278" s="379">
        <f>AZ284+AZ287+AZ319+AZ290+AZ296+AZ299+AZ302+AZ305+AZ307+AZ316+AZ322+AZ325+AZ328+AZ331+AZ334+AZ337+AZ340+AZ281+AZ312+AZ293</f>
        <v>204461</v>
      </c>
      <c r="BA278" s="380"/>
      <c r="BB278" s="373"/>
      <c r="BC278" s="374"/>
      <c r="BD278" s="381"/>
      <c r="BE278" s="379">
        <f>BE284+BE287+BE319+BE290+BE296+BE299+BE302+BE305+BE307+BE316+BE322+BE325+BE328+BE331+BE334+BE337+BE340+BE281+BE312+BE293</f>
        <v>132680</v>
      </c>
      <c r="BF278" s="380"/>
      <c r="BG278" s="373"/>
      <c r="BH278" s="374"/>
      <c r="BI278" s="381"/>
      <c r="BJ278" s="379">
        <v>0</v>
      </c>
      <c r="BK278" s="380"/>
      <c r="BL278" s="373"/>
      <c r="BM278" s="374"/>
      <c r="BN278" s="381"/>
      <c r="BO278" s="379">
        <f>BO284+BO287+BO319+BO290+BO296+BO299+BO302+BO305+BO307+BO316+BO322+BO325+BO328+BO331+BO334+BO337+BO340+BO281+BO312+BO293</f>
        <v>0</v>
      </c>
      <c r="BP278" s="380"/>
      <c r="BQ278" s="373"/>
      <c r="BR278" s="374"/>
      <c r="BS278" s="381"/>
      <c r="BT278" s="404">
        <f>BT284+BT287+BT319+BT290+BT296+BT299+BT302+BT305+BT307+BT316+BT322+BT325+BT328+BT331+BT334+BT337+BT340+BT281+BT312+BT293</f>
        <v>1028268</v>
      </c>
      <c r="BU278" s="380"/>
      <c r="BV278" s="373"/>
      <c r="BW278" s="9"/>
      <c r="BZ278" s="10"/>
      <c r="CA278" s="10"/>
    </row>
    <row r="279" spans="4:79" x14ac:dyDescent="0.2">
      <c r="D279" s="9"/>
      <c r="E279" s="397"/>
      <c r="F279" s="149"/>
      <c r="G279" s="373"/>
      <c r="H279" s="373"/>
      <c r="I279" s="373"/>
      <c r="J279" s="374"/>
      <c r="K279" s="373"/>
      <c r="L279" s="373"/>
      <c r="M279" s="373"/>
      <c r="N279" s="373"/>
      <c r="O279" s="374"/>
      <c r="P279" s="373"/>
      <c r="Q279" s="373"/>
      <c r="R279" s="373"/>
      <c r="S279" s="373"/>
      <c r="T279" s="374"/>
      <c r="U279" s="373"/>
      <c r="V279" s="373"/>
      <c r="W279" s="373"/>
      <c r="X279" s="373"/>
      <c r="Y279" s="374"/>
      <c r="Z279" s="373"/>
      <c r="AA279" s="373"/>
      <c r="AB279" s="373"/>
      <c r="AC279" s="373"/>
      <c r="AD279" s="374"/>
      <c r="AE279" s="373"/>
      <c r="AF279" s="373"/>
      <c r="AG279" s="373"/>
      <c r="AH279" s="373"/>
      <c r="AI279" s="374"/>
      <c r="AJ279" s="373"/>
      <c r="AK279" s="373"/>
      <c r="AL279" s="373"/>
      <c r="AM279" s="373"/>
      <c r="AN279" s="374"/>
      <c r="AO279" s="373"/>
      <c r="AP279" s="373"/>
      <c r="AQ279" s="373"/>
      <c r="AR279" s="373"/>
      <c r="AS279" s="374"/>
      <c r="AT279" s="373"/>
      <c r="AU279" s="373"/>
      <c r="AV279" s="373"/>
      <c r="AW279" s="373"/>
      <c r="AX279" s="374"/>
      <c r="AY279" s="373"/>
      <c r="AZ279" s="373"/>
      <c r="BA279" s="373"/>
      <c r="BB279" s="373"/>
      <c r="BC279" s="374"/>
      <c r="BD279" s="373"/>
      <c r="BE279" s="373"/>
      <c r="BF279" s="373"/>
      <c r="BG279" s="373"/>
      <c r="BH279" s="374"/>
      <c r="BI279" s="373"/>
      <c r="BJ279" s="373"/>
      <c r="BK279" s="373"/>
      <c r="BL279" s="373"/>
      <c r="BM279" s="374"/>
      <c r="BN279" s="373"/>
      <c r="BO279" s="373"/>
      <c r="BP279" s="373"/>
      <c r="BQ279" s="373"/>
      <c r="BR279" s="374"/>
      <c r="BS279" s="373"/>
      <c r="BT279" s="373"/>
      <c r="BU279" s="373"/>
      <c r="BV279" s="373"/>
      <c r="BW279" s="9"/>
      <c r="BZ279" s="10"/>
      <c r="CA279" s="10"/>
    </row>
    <row r="280" spans="4:79" ht="12.75" hidden="1" customHeight="1" x14ac:dyDescent="0.2">
      <c r="D280" s="9" t="s">
        <v>403</v>
      </c>
      <c r="G280" s="373">
        <v>0</v>
      </c>
      <c r="H280" s="373"/>
      <c r="I280" s="373"/>
      <c r="J280" s="374"/>
      <c r="K280" s="373"/>
      <c r="L280" s="373">
        <f>SUM(L281:L281)</f>
        <v>0</v>
      </c>
      <c r="M280" s="373"/>
      <c r="N280" s="373"/>
      <c r="O280" s="374"/>
      <c r="P280" s="373"/>
      <c r="Q280" s="373">
        <f>SUM(Q281:Q281)</f>
        <v>0</v>
      </c>
      <c r="R280" s="373"/>
      <c r="S280" s="373"/>
      <c r="T280" s="374"/>
      <c r="U280" s="373"/>
      <c r="V280" s="373">
        <f>SUM(V281:V281)</f>
        <v>0</v>
      </c>
      <c r="W280" s="373"/>
      <c r="X280" s="373"/>
      <c r="Y280" s="374"/>
      <c r="Z280" s="373"/>
      <c r="AA280" s="373">
        <f>SUM(AA281:AA281)</f>
        <v>0</v>
      </c>
      <c r="AB280" s="373"/>
      <c r="AC280" s="373"/>
      <c r="AD280" s="374"/>
      <c r="AE280" s="373"/>
      <c r="AF280" s="373">
        <f>SUM(AF281:AF281)</f>
        <v>0</v>
      </c>
      <c r="AG280" s="373"/>
      <c r="AH280" s="373"/>
      <c r="AI280" s="374"/>
      <c r="AJ280" s="373"/>
      <c r="AK280" s="373">
        <f>SUM(AK281:AK281)</f>
        <v>0</v>
      </c>
      <c r="AL280" s="373"/>
      <c r="AM280" s="373"/>
      <c r="AN280" s="374"/>
      <c r="AO280" s="373"/>
      <c r="AP280" s="373">
        <f>SUM(AP281:AP281)</f>
        <v>0</v>
      </c>
      <c r="AQ280" s="373"/>
      <c r="AR280" s="373"/>
      <c r="AS280" s="374"/>
      <c r="AT280" s="373"/>
      <c r="AU280" s="373">
        <f>SUM(AU281:AU281)</f>
        <v>0</v>
      </c>
      <c r="AV280" s="373"/>
      <c r="AW280" s="373"/>
      <c r="AX280" s="374"/>
      <c r="AY280" s="373"/>
      <c r="AZ280" s="373">
        <f>SUM(AZ281:AZ281)</f>
        <v>0</v>
      </c>
      <c r="BA280" s="373"/>
      <c r="BB280" s="373"/>
      <c r="BC280" s="374"/>
      <c r="BD280" s="373"/>
      <c r="BE280" s="373">
        <f>SUM(BE281:BE281)</f>
        <v>0</v>
      </c>
      <c r="BF280" s="373"/>
      <c r="BG280" s="373"/>
      <c r="BH280" s="374"/>
      <c r="BI280" s="373"/>
      <c r="BJ280" s="373">
        <f>SUM(BJ281:BJ281)</f>
        <v>0</v>
      </c>
      <c r="BK280" s="373"/>
      <c r="BL280" s="373"/>
      <c r="BM280" s="374"/>
      <c r="BN280" s="373"/>
      <c r="BO280" s="373">
        <f>SUM(BO281:BO281)</f>
        <v>0</v>
      </c>
      <c r="BP280" s="373"/>
      <c r="BQ280" s="373"/>
      <c r="BR280" s="374"/>
      <c r="BS280" s="373"/>
      <c r="BT280" s="373">
        <f>SUM(BT281:BT281)</f>
        <v>0</v>
      </c>
      <c r="BU280" s="373"/>
      <c r="BV280" s="373"/>
      <c r="BW280" s="9"/>
      <c r="BZ280" s="10"/>
      <c r="CA280" s="10"/>
    </row>
    <row r="281" spans="4:79" ht="12.75" hidden="1" customHeight="1" x14ac:dyDescent="0.2">
      <c r="D281" s="9" t="s">
        <v>343</v>
      </c>
      <c r="F281" s="378"/>
      <c r="G281" s="379">
        <v>0</v>
      </c>
      <c r="H281" s="380"/>
      <c r="I281" s="373"/>
      <c r="J281" s="374"/>
      <c r="K281" s="381"/>
      <c r="L281" s="379">
        <v>0</v>
      </c>
      <c r="M281" s="380"/>
      <c r="N281" s="373"/>
      <c r="O281" s="374"/>
      <c r="P281" s="381"/>
      <c r="Q281" s="379">
        <v>0</v>
      </c>
      <c r="R281" s="380"/>
      <c r="S281" s="373"/>
      <c r="T281" s="374"/>
      <c r="U281" s="381"/>
      <c r="V281" s="379">
        <v>0</v>
      </c>
      <c r="W281" s="380"/>
      <c r="X281" s="373"/>
      <c r="Y281" s="374"/>
      <c r="Z281" s="381"/>
      <c r="AA281" s="379">
        <v>0</v>
      </c>
      <c r="AB281" s="380"/>
      <c r="AC281" s="373"/>
      <c r="AD281" s="374"/>
      <c r="AE281" s="381"/>
      <c r="AF281" s="379">
        <v>0</v>
      </c>
      <c r="AG281" s="380"/>
      <c r="AH281" s="373"/>
      <c r="AI281" s="374"/>
      <c r="AJ281" s="381"/>
      <c r="AK281" s="379">
        <v>0</v>
      </c>
      <c r="AL281" s="380"/>
      <c r="AM281" s="373"/>
      <c r="AN281" s="374"/>
      <c r="AO281" s="381"/>
      <c r="AP281" s="379">
        <v>0</v>
      </c>
      <c r="AQ281" s="380"/>
      <c r="AR281" s="373"/>
      <c r="AS281" s="374"/>
      <c r="AT281" s="381"/>
      <c r="AU281" s="379">
        <v>0</v>
      </c>
      <c r="AV281" s="380"/>
      <c r="AW281" s="373"/>
      <c r="AX281" s="374"/>
      <c r="AY281" s="381"/>
      <c r="AZ281" s="379">
        <v>0</v>
      </c>
      <c r="BA281" s="380"/>
      <c r="BB281" s="373"/>
      <c r="BC281" s="374"/>
      <c r="BD281" s="381"/>
      <c r="BE281" s="379">
        <v>0</v>
      </c>
      <c r="BF281" s="380"/>
      <c r="BG281" s="373"/>
      <c r="BH281" s="374"/>
      <c r="BI281" s="381"/>
      <c r="BJ281" s="379">
        <v>0</v>
      </c>
      <c r="BK281" s="380"/>
      <c r="BL281" s="373"/>
      <c r="BM281" s="374"/>
      <c r="BN281" s="381"/>
      <c r="BO281" s="379">
        <v>0</v>
      </c>
      <c r="BP281" s="380"/>
      <c r="BQ281" s="373"/>
      <c r="BR281" s="374"/>
      <c r="BS281" s="381"/>
      <c r="BT281" s="379">
        <f>SUM(L281:BO281)</f>
        <v>0</v>
      </c>
      <c r="BU281" s="380"/>
      <c r="BV281" s="373"/>
      <c r="BW281" s="9"/>
      <c r="BZ281" s="10"/>
      <c r="CA281" s="10"/>
    </row>
    <row r="282" spans="4:79" ht="12.75" hidden="1" customHeight="1" x14ac:dyDescent="0.2">
      <c r="D282" s="9"/>
      <c r="E282" s="397"/>
      <c r="F282" s="149"/>
      <c r="G282" s="373"/>
      <c r="H282" s="373"/>
      <c r="I282" s="373"/>
      <c r="J282" s="374"/>
      <c r="K282" s="373"/>
      <c r="L282" s="373"/>
      <c r="M282" s="373"/>
      <c r="N282" s="373"/>
      <c r="O282" s="374"/>
      <c r="P282" s="373"/>
      <c r="Q282" s="373"/>
      <c r="R282" s="373"/>
      <c r="S282" s="373"/>
      <c r="T282" s="374"/>
      <c r="U282" s="373"/>
      <c r="V282" s="373"/>
      <c r="W282" s="373"/>
      <c r="X282" s="373"/>
      <c r="Y282" s="374"/>
      <c r="Z282" s="373"/>
      <c r="AA282" s="373"/>
      <c r="AB282" s="373"/>
      <c r="AC282" s="373"/>
      <c r="AD282" s="374"/>
      <c r="AE282" s="373"/>
      <c r="AF282" s="373"/>
      <c r="AG282" s="373"/>
      <c r="AH282" s="373"/>
      <c r="AI282" s="374"/>
      <c r="AJ282" s="373"/>
      <c r="AK282" s="373"/>
      <c r="AL282" s="373"/>
      <c r="AM282" s="373"/>
      <c r="AN282" s="374"/>
      <c r="AO282" s="373"/>
      <c r="AP282" s="373"/>
      <c r="AQ282" s="373"/>
      <c r="AR282" s="373"/>
      <c r="AS282" s="374"/>
      <c r="AT282" s="373"/>
      <c r="AU282" s="373"/>
      <c r="AV282" s="373"/>
      <c r="AW282" s="373"/>
      <c r="AX282" s="374"/>
      <c r="AY282" s="373"/>
      <c r="AZ282" s="373"/>
      <c r="BA282" s="373"/>
      <c r="BB282" s="373"/>
      <c r="BC282" s="374"/>
      <c r="BD282" s="373"/>
      <c r="BE282" s="373"/>
      <c r="BF282" s="373"/>
      <c r="BG282" s="373"/>
      <c r="BH282" s="374"/>
      <c r="BI282" s="373"/>
      <c r="BJ282" s="373"/>
      <c r="BK282" s="373"/>
      <c r="BL282" s="373"/>
      <c r="BM282" s="374"/>
      <c r="BN282" s="373"/>
      <c r="BO282" s="373"/>
      <c r="BP282" s="373"/>
      <c r="BQ282" s="373"/>
      <c r="BR282" s="374"/>
      <c r="BS282" s="373"/>
      <c r="BT282" s="373"/>
      <c r="BU282" s="373"/>
      <c r="BV282" s="373"/>
      <c r="BW282" s="9"/>
      <c r="BZ282" s="10"/>
      <c r="CA282" s="10"/>
    </row>
    <row r="283" spans="4:79" x14ac:dyDescent="0.2">
      <c r="D283" s="9" t="s">
        <v>370</v>
      </c>
      <c r="G283" s="373">
        <f>SUM(G284:G284)</f>
        <v>0</v>
      </c>
      <c r="H283" s="373"/>
      <c r="I283" s="373"/>
      <c r="J283" s="374"/>
      <c r="K283" s="373"/>
      <c r="L283" s="373">
        <f>SUM(L284:L284)</f>
        <v>487336</v>
      </c>
      <c r="M283" s="373"/>
      <c r="N283" s="373"/>
      <c r="O283" s="374"/>
      <c r="P283" s="373"/>
      <c r="Q283" s="373">
        <f>SUM(Q284:Q284)</f>
        <v>0</v>
      </c>
      <c r="R283" s="373"/>
      <c r="S283" s="373"/>
      <c r="T283" s="374"/>
      <c r="U283" s="373"/>
      <c r="V283" s="373">
        <f>SUM(V284:V284)</f>
        <v>0</v>
      </c>
      <c r="W283" s="373"/>
      <c r="X283" s="373"/>
      <c r="Y283" s="374"/>
      <c r="Z283" s="373"/>
      <c r="AA283" s="373">
        <f>SUM(AA284:AA284)</f>
        <v>0</v>
      </c>
      <c r="AB283" s="373"/>
      <c r="AC283" s="373"/>
      <c r="AD283" s="374"/>
      <c r="AE283" s="373"/>
      <c r="AF283" s="373">
        <f>SUM(AF284:AF284)</f>
        <v>0</v>
      </c>
      <c r="AG283" s="373"/>
      <c r="AH283" s="373"/>
      <c r="AI283" s="374"/>
      <c r="AJ283" s="373"/>
      <c r="AK283" s="373">
        <f>SUM(AK284:AK284)</f>
        <v>0</v>
      </c>
      <c r="AL283" s="373"/>
      <c r="AM283" s="373"/>
      <c r="AN283" s="374"/>
      <c r="AO283" s="373"/>
      <c r="AP283" s="373">
        <f>SUM(AP284:AP284)</f>
        <v>0</v>
      </c>
      <c r="AQ283" s="373"/>
      <c r="AR283" s="373"/>
      <c r="AS283" s="374"/>
      <c r="AT283" s="373"/>
      <c r="AU283" s="373">
        <f>SUM(AU284:AU284)</f>
        <v>0</v>
      </c>
      <c r="AV283" s="373"/>
      <c r="AW283" s="373"/>
      <c r="AX283" s="374"/>
      <c r="AY283" s="373"/>
      <c r="AZ283" s="373">
        <f>SUM(AZ284:AZ284)</f>
        <v>68220</v>
      </c>
      <c r="BA283" s="373"/>
      <c r="BB283" s="373"/>
      <c r="BC283" s="374"/>
      <c r="BD283" s="373"/>
      <c r="BE283" s="373">
        <f>SUM(BE284:BE284)</f>
        <v>0</v>
      </c>
      <c r="BF283" s="373"/>
      <c r="BG283" s="373"/>
      <c r="BH283" s="374"/>
      <c r="BI283" s="373"/>
      <c r="BJ283" s="373">
        <f>SUM(BJ284:BJ284)</f>
        <v>0</v>
      </c>
      <c r="BK283" s="373"/>
      <c r="BL283" s="373"/>
      <c r="BM283" s="374"/>
      <c r="BN283" s="373"/>
      <c r="BO283" s="373">
        <f>SUM(BO284:BO284)</f>
        <v>0</v>
      </c>
      <c r="BP283" s="373"/>
      <c r="BQ283" s="373"/>
      <c r="BR283" s="374"/>
      <c r="BS283" s="373"/>
      <c r="BT283" s="373">
        <f>SUM(BT284:BT284)</f>
        <v>555556</v>
      </c>
      <c r="BU283" s="373"/>
      <c r="BV283" s="373"/>
      <c r="BW283" s="9"/>
      <c r="BZ283" s="10"/>
      <c r="CA283" s="10"/>
    </row>
    <row r="284" spans="4:79" x14ac:dyDescent="0.2">
      <c r="D284" s="9" t="s">
        <v>343</v>
      </c>
      <c r="F284" s="378"/>
      <c r="G284" s="379">
        <v>0</v>
      </c>
      <c r="H284" s="380"/>
      <c r="I284" s="373"/>
      <c r="J284" s="374"/>
      <c r="K284" s="381"/>
      <c r="L284" s="379">
        <v>487336</v>
      </c>
      <c r="M284" s="380"/>
      <c r="N284" s="373"/>
      <c r="O284" s="374"/>
      <c r="P284" s="381"/>
      <c r="Q284" s="379">
        <v>0</v>
      </c>
      <c r="R284" s="380"/>
      <c r="S284" s="373"/>
      <c r="T284" s="374"/>
      <c r="U284" s="381"/>
      <c r="V284" s="379">
        <v>0</v>
      </c>
      <c r="W284" s="380"/>
      <c r="X284" s="373"/>
      <c r="Y284" s="374"/>
      <c r="Z284" s="381"/>
      <c r="AA284" s="379">
        <v>0</v>
      </c>
      <c r="AB284" s="380"/>
      <c r="AC284" s="373"/>
      <c r="AD284" s="374"/>
      <c r="AE284" s="381"/>
      <c r="AF284" s="379">
        <v>0</v>
      </c>
      <c r="AG284" s="380"/>
      <c r="AH284" s="373"/>
      <c r="AI284" s="374"/>
      <c r="AJ284" s="381"/>
      <c r="AK284" s="379">
        <v>0</v>
      </c>
      <c r="AL284" s="380"/>
      <c r="AM284" s="373"/>
      <c r="AN284" s="374"/>
      <c r="AO284" s="381"/>
      <c r="AP284" s="379">
        <v>0</v>
      </c>
      <c r="AQ284" s="380"/>
      <c r="AR284" s="373"/>
      <c r="AS284" s="374"/>
      <c r="AT284" s="381"/>
      <c r="AU284" s="379">
        <v>0</v>
      </c>
      <c r="AV284" s="380"/>
      <c r="AW284" s="373"/>
      <c r="AX284" s="374"/>
      <c r="AY284" s="381"/>
      <c r="AZ284" s="379">
        <v>68220</v>
      </c>
      <c r="BA284" s="380"/>
      <c r="BB284" s="373"/>
      <c r="BC284" s="374"/>
      <c r="BD284" s="381"/>
      <c r="BE284" s="379">
        <v>0</v>
      </c>
      <c r="BF284" s="380"/>
      <c r="BG284" s="373"/>
      <c r="BH284" s="374"/>
      <c r="BI284" s="381"/>
      <c r="BJ284" s="379">
        <v>0</v>
      </c>
      <c r="BK284" s="380"/>
      <c r="BL284" s="373"/>
      <c r="BM284" s="374"/>
      <c r="BN284" s="381"/>
      <c r="BO284" s="379">
        <v>0</v>
      </c>
      <c r="BP284" s="380"/>
      <c r="BQ284" s="373"/>
      <c r="BR284" s="374"/>
      <c r="BS284" s="381"/>
      <c r="BT284" s="379">
        <f>SUM(L284:BO284)</f>
        <v>555556</v>
      </c>
      <c r="BU284" s="380"/>
      <c r="BV284" s="373"/>
      <c r="BW284" s="9"/>
      <c r="BZ284" s="10"/>
      <c r="CA284" s="10"/>
    </row>
    <row r="285" spans="4:79" x14ac:dyDescent="0.2">
      <c r="D285" s="9"/>
      <c r="G285" s="373"/>
      <c r="H285" s="373"/>
      <c r="I285" s="373"/>
      <c r="J285" s="374"/>
      <c r="K285" s="373"/>
      <c r="L285" s="373"/>
      <c r="M285" s="373"/>
      <c r="N285" s="373"/>
      <c r="O285" s="374"/>
      <c r="P285" s="373"/>
      <c r="Q285" s="373"/>
      <c r="R285" s="373"/>
      <c r="S285" s="373"/>
      <c r="T285" s="374"/>
      <c r="U285" s="373"/>
      <c r="V285" s="373"/>
      <c r="W285" s="373"/>
      <c r="X285" s="373"/>
      <c r="Y285" s="374"/>
      <c r="Z285" s="373"/>
      <c r="AA285" s="373"/>
      <c r="AB285" s="373"/>
      <c r="AC285" s="373"/>
      <c r="AD285" s="374"/>
      <c r="AE285" s="373"/>
      <c r="AF285" s="373"/>
      <c r="AG285" s="373"/>
      <c r="AH285" s="373"/>
      <c r="AI285" s="374"/>
      <c r="AJ285" s="373"/>
      <c r="AK285" s="373"/>
      <c r="AL285" s="373"/>
      <c r="AM285" s="373"/>
      <c r="AN285" s="374"/>
      <c r="AO285" s="373"/>
      <c r="AP285" s="373"/>
      <c r="AQ285" s="373"/>
      <c r="AR285" s="373"/>
      <c r="AS285" s="374"/>
      <c r="AT285" s="373"/>
      <c r="AU285" s="373"/>
      <c r="AV285" s="373"/>
      <c r="AW285" s="373"/>
      <c r="AX285" s="374"/>
      <c r="AY285" s="373"/>
      <c r="AZ285" s="373"/>
      <c r="BA285" s="373"/>
      <c r="BB285" s="373"/>
      <c r="BC285" s="374"/>
      <c r="BD285" s="373"/>
      <c r="BE285" s="373"/>
      <c r="BF285" s="373"/>
      <c r="BG285" s="373"/>
      <c r="BH285" s="374"/>
      <c r="BI285" s="373"/>
      <c r="BJ285" s="373"/>
      <c r="BK285" s="373"/>
      <c r="BL285" s="373"/>
      <c r="BM285" s="374"/>
      <c r="BN285" s="373"/>
      <c r="BO285" s="373"/>
      <c r="BP285" s="373"/>
      <c r="BQ285" s="373"/>
      <c r="BR285" s="374"/>
      <c r="BS285" s="373"/>
      <c r="BT285" s="373"/>
      <c r="BU285" s="373"/>
      <c r="BV285" s="373"/>
      <c r="BW285" s="9"/>
      <c r="BZ285" s="10"/>
      <c r="CA285" s="10"/>
    </row>
    <row r="286" spans="4:79" ht="12.75" customHeight="1" x14ac:dyDescent="0.2">
      <c r="D286" s="9" t="s">
        <v>404</v>
      </c>
      <c r="G286" s="373">
        <f>SUM(G287:G287)</f>
        <v>0</v>
      </c>
      <c r="H286" s="373"/>
      <c r="I286" s="373"/>
      <c r="J286" s="374"/>
      <c r="K286" s="373"/>
      <c r="L286" s="373">
        <f>SUM(L287:L287)</f>
        <v>0</v>
      </c>
      <c r="M286" s="373"/>
      <c r="N286" s="373"/>
      <c r="O286" s="374"/>
      <c r="P286" s="373"/>
      <c r="Q286" s="373">
        <f>SUM(Q287:Q287)</f>
        <v>0</v>
      </c>
      <c r="R286" s="373"/>
      <c r="S286" s="373"/>
      <c r="T286" s="374"/>
      <c r="U286" s="373"/>
      <c r="V286" s="373">
        <f>SUM(V287:V287)</f>
        <v>0</v>
      </c>
      <c r="W286" s="373"/>
      <c r="X286" s="373"/>
      <c r="Y286" s="374"/>
      <c r="Z286" s="373"/>
      <c r="AA286" s="373">
        <f>SUM(AA287:AA287)</f>
        <v>0</v>
      </c>
      <c r="AB286" s="373"/>
      <c r="AC286" s="373"/>
      <c r="AD286" s="374"/>
      <c r="AE286" s="373"/>
      <c r="AF286" s="373">
        <f>SUM(AF287:AF287)</f>
        <v>0</v>
      </c>
      <c r="AG286" s="373"/>
      <c r="AH286" s="373"/>
      <c r="AI286" s="374"/>
      <c r="AJ286" s="373"/>
      <c r="AK286" s="373">
        <f>SUM(AK287:AK287)</f>
        <v>0</v>
      </c>
      <c r="AL286" s="373"/>
      <c r="AM286" s="373"/>
      <c r="AN286" s="374"/>
      <c r="AO286" s="373"/>
      <c r="AP286" s="373">
        <f>SUM(AP287:AP287)</f>
        <v>0</v>
      </c>
      <c r="AQ286" s="373"/>
      <c r="AR286" s="373"/>
      <c r="AS286" s="374"/>
      <c r="AT286" s="373"/>
      <c r="AU286" s="373">
        <f>SUM(AU287:AU287)</f>
        <v>0</v>
      </c>
      <c r="AV286" s="373"/>
      <c r="AW286" s="373"/>
      <c r="AX286" s="374"/>
      <c r="AY286" s="373"/>
      <c r="AZ286" s="373">
        <f>SUM(AZ287:AZ287)</f>
        <v>77049</v>
      </c>
      <c r="BA286" s="373"/>
      <c r="BB286" s="373"/>
      <c r="BC286" s="374"/>
      <c r="BD286" s="373"/>
      <c r="BE286" s="373">
        <f>SUM(BE287:BE287)</f>
        <v>0</v>
      </c>
      <c r="BF286" s="373"/>
      <c r="BG286" s="373"/>
      <c r="BH286" s="374"/>
      <c r="BI286" s="373"/>
      <c r="BJ286" s="373">
        <f>SUM(BJ287:BJ287)</f>
        <v>0</v>
      </c>
      <c r="BK286" s="373"/>
      <c r="BL286" s="373"/>
      <c r="BM286" s="374"/>
      <c r="BN286" s="373"/>
      <c r="BO286" s="373">
        <f>SUM(BO287:BO287)</f>
        <v>0</v>
      </c>
      <c r="BP286" s="373"/>
      <c r="BQ286" s="373"/>
      <c r="BR286" s="374"/>
      <c r="BS286" s="373"/>
      <c r="BT286" s="373">
        <f>SUM(BT287:BT287)</f>
        <v>77049</v>
      </c>
      <c r="BU286" s="373"/>
      <c r="BV286" s="373"/>
      <c r="BW286" s="9"/>
      <c r="BZ286" s="10"/>
      <c r="CA286" s="10"/>
    </row>
    <row r="287" spans="4:79" ht="12.75" customHeight="1" x14ac:dyDescent="0.2">
      <c r="D287" s="9" t="s">
        <v>343</v>
      </c>
      <c r="F287" s="378"/>
      <c r="G287" s="379">
        <v>0</v>
      </c>
      <c r="H287" s="380"/>
      <c r="I287" s="373"/>
      <c r="J287" s="374"/>
      <c r="K287" s="381"/>
      <c r="L287" s="379">
        <v>0</v>
      </c>
      <c r="M287" s="380"/>
      <c r="N287" s="373"/>
      <c r="O287" s="374"/>
      <c r="P287" s="381"/>
      <c r="Q287" s="379">
        <v>0</v>
      </c>
      <c r="R287" s="380"/>
      <c r="S287" s="373"/>
      <c r="T287" s="374"/>
      <c r="U287" s="381"/>
      <c r="V287" s="379">
        <v>0</v>
      </c>
      <c r="W287" s="380"/>
      <c r="X287" s="373"/>
      <c r="Y287" s="374"/>
      <c r="Z287" s="381"/>
      <c r="AA287" s="379">
        <v>0</v>
      </c>
      <c r="AB287" s="380"/>
      <c r="AC287" s="373"/>
      <c r="AD287" s="374"/>
      <c r="AE287" s="381"/>
      <c r="AF287" s="379">
        <v>0</v>
      </c>
      <c r="AG287" s="380"/>
      <c r="AH287" s="373"/>
      <c r="AI287" s="374"/>
      <c r="AJ287" s="381"/>
      <c r="AK287" s="379">
        <v>0</v>
      </c>
      <c r="AL287" s="380"/>
      <c r="AM287" s="373"/>
      <c r="AN287" s="374"/>
      <c r="AO287" s="381"/>
      <c r="AP287" s="379">
        <v>0</v>
      </c>
      <c r="AQ287" s="380"/>
      <c r="AR287" s="373"/>
      <c r="AS287" s="374"/>
      <c r="AT287" s="381"/>
      <c r="AU287" s="379">
        <v>0</v>
      </c>
      <c r="AV287" s="380"/>
      <c r="AW287" s="373"/>
      <c r="AX287" s="374"/>
      <c r="AY287" s="381"/>
      <c r="AZ287" s="379">
        <v>77049</v>
      </c>
      <c r="BA287" s="380"/>
      <c r="BB287" s="373"/>
      <c r="BC287" s="374"/>
      <c r="BD287" s="381"/>
      <c r="BE287" s="379">
        <v>0</v>
      </c>
      <c r="BF287" s="380"/>
      <c r="BG287" s="373"/>
      <c r="BH287" s="374"/>
      <c r="BI287" s="381"/>
      <c r="BJ287" s="379">
        <v>0</v>
      </c>
      <c r="BK287" s="380"/>
      <c r="BL287" s="373"/>
      <c r="BM287" s="374"/>
      <c r="BN287" s="381"/>
      <c r="BO287" s="379">
        <v>0</v>
      </c>
      <c r="BP287" s="380"/>
      <c r="BQ287" s="373"/>
      <c r="BR287" s="374"/>
      <c r="BS287" s="381"/>
      <c r="BT287" s="379">
        <f>SUM(L287:BO287)</f>
        <v>77049</v>
      </c>
      <c r="BU287" s="380"/>
      <c r="BV287" s="373"/>
      <c r="BW287" s="9"/>
      <c r="BZ287" s="10"/>
      <c r="CA287" s="10"/>
    </row>
    <row r="288" spans="4:79" ht="12.75" customHeight="1" x14ac:dyDescent="0.2">
      <c r="D288" s="9"/>
      <c r="G288" s="373"/>
      <c r="H288" s="373"/>
      <c r="I288" s="373"/>
      <c r="J288" s="374"/>
      <c r="K288" s="373"/>
      <c r="L288" s="373"/>
      <c r="M288" s="373"/>
      <c r="N288" s="373"/>
      <c r="O288" s="374"/>
      <c r="P288" s="373"/>
      <c r="Q288" s="373"/>
      <c r="R288" s="373"/>
      <c r="S288" s="373"/>
      <c r="T288" s="374"/>
      <c r="U288" s="373"/>
      <c r="V288" s="373"/>
      <c r="W288" s="373"/>
      <c r="X288" s="373"/>
      <c r="Y288" s="374"/>
      <c r="Z288" s="373"/>
      <c r="AA288" s="373"/>
      <c r="AB288" s="373"/>
      <c r="AC288" s="373"/>
      <c r="AD288" s="374"/>
      <c r="AE288" s="373"/>
      <c r="AF288" s="373"/>
      <c r="AG288" s="373"/>
      <c r="AH288" s="373"/>
      <c r="AI288" s="374"/>
      <c r="AJ288" s="373"/>
      <c r="AK288" s="373"/>
      <c r="AL288" s="373"/>
      <c r="AM288" s="373"/>
      <c r="AN288" s="374"/>
      <c r="AO288" s="373"/>
      <c r="AP288" s="373"/>
      <c r="AQ288" s="373"/>
      <c r="AR288" s="373"/>
      <c r="AS288" s="374"/>
      <c r="AT288" s="373"/>
      <c r="AU288" s="373"/>
      <c r="AV288" s="373"/>
      <c r="AW288" s="373"/>
      <c r="AX288" s="374"/>
      <c r="AY288" s="373"/>
      <c r="AZ288" s="373"/>
      <c r="BA288" s="373"/>
      <c r="BB288" s="373"/>
      <c r="BC288" s="374"/>
      <c r="BD288" s="373"/>
      <c r="BE288" s="373"/>
      <c r="BF288" s="373"/>
      <c r="BG288" s="373"/>
      <c r="BH288" s="374"/>
      <c r="BI288" s="373"/>
      <c r="BJ288" s="373"/>
      <c r="BK288" s="373"/>
      <c r="BL288" s="373"/>
      <c r="BM288" s="374"/>
      <c r="BN288" s="373"/>
      <c r="BO288" s="373"/>
      <c r="BP288" s="373"/>
      <c r="BQ288" s="373"/>
      <c r="BR288" s="374"/>
      <c r="BS288" s="373"/>
      <c r="BT288" s="373"/>
      <c r="BU288" s="373"/>
      <c r="BV288" s="373"/>
      <c r="BW288" s="9"/>
      <c r="BZ288" s="10"/>
      <c r="CA288" s="10"/>
    </row>
    <row r="289" spans="4:79" x14ac:dyDescent="0.2">
      <c r="D289" s="9" t="s">
        <v>354</v>
      </c>
      <c r="G289" s="373">
        <f>SUM(G290:G290)</f>
        <v>0</v>
      </c>
      <c r="H289" s="373"/>
      <c r="I289" s="373"/>
      <c r="J289" s="374"/>
      <c r="K289" s="373"/>
      <c r="L289" s="373">
        <f>SUM(L290:L290)</f>
        <v>0</v>
      </c>
      <c r="M289" s="373"/>
      <c r="N289" s="373"/>
      <c r="O289" s="374"/>
      <c r="P289" s="373"/>
      <c r="Q289" s="373">
        <f>SUM(Q290:Q290)</f>
        <v>29682</v>
      </c>
      <c r="R289" s="373"/>
      <c r="S289" s="373"/>
      <c r="T289" s="374"/>
      <c r="U289" s="373"/>
      <c r="V289" s="373">
        <f>SUM(V290:V290)</f>
        <v>28489</v>
      </c>
      <c r="W289" s="373"/>
      <c r="X289" s="373"/>
      <c r="Y289" s="374"/>
      <c r="Z289" s="373"/>
      <c r="AA289" s="373">
        <f>SUM(AA290:AA290)</f>
        <v>0</v>
      </c>
      <c r="AB289" s="373"/>
      <c r="AC289" s="373"/>
      <c r="AD289" s="374"/>
      <c r="AE289" s="373"/>
      <c r="AF289" s="373">
        <f>SUM(AF290:AF290)</f>
        <v>0</v>
      </c>
      <c r="AG289" s="373"/>
      <c r="AH289" s="373"/>
      <c r="AI289" s="374"/>
      <c r="AJ289" s="373"/>
      <c r="AK289" s="373">
        <f>SUM(AK290:AK290)</f>
        <v>0</v>
      </c>
      <c r="AL289" s="373"/>
      <c r="AM289" s="373"/>
      <c r="AN289" s="374"/>
      <c r="AO289" s="373"/>
      <c r="AP289" s="373">
        <f>SUM(AP290:AP290)</f>
        <v>0</v>
      </c>
      <c r="AQ289" s="373"/>
      <c r="AR289" s="373"/>
      <c r="AS289" s="374"/>
      <c r="AT289" s="373"/>
      <c r="AU289" s="373">
        <f>SUM(AU290:AU290)</f>
        <v>0</v>
      </c>
      <c r="AV289" s="373"/>
      <c r="AW289" s="373"/>
      <c r="AX289" s="374"/>
      <c r="AY289" s="373"/>
      <c r="AZ289" s="373">
        <f>SUM(AZ290:AZ290)</f>
        <v>59192</v>
      </c>
      <c r="BA289" s="373"/>
      <c r="BB289" s="373"/>
      <c r="BC289" s="374"/>
      <c r="BD289" s="373"/>
      <c r="BE289" s="373">
        <f>SUM(BE290:BE290)</f>
        <v>0</v>
      </c>
      <c r="BF289" s="373"/>
      <c r="BG289" s="373"/>
      <c r="BH289" s="374"/>
      <c r="BI289" s="373"/>
      <c r="BJ289" s="373">
        <f>SUM(BJ290:BJ290)</f>
        <v>0</v>
      </c>
      <c r="BK289" s="373"/>
      <c r="BL289" s="373"/>
      <c r="BM289" s="374"/>
      <c r="BN289" s="373"/>
      <c r="BO289" s="373">
        <f>SUM(BO290:BO290)</f>
        <v>0</v>
      </c>
      <c r="BP289" s="373"/>
      <c r="BQ289" s="373"/>
      <c r="BR289" s="374"/>
      <c r="BS289" s="373"/>
      <c r="BT289" s="373">
        <f>SUM(BT290:BT290)</f>
        <v>117363</v>
      </c>
      <c r="BU289" s="373"/>
      <c r="BV289" s="373"/>
      <c r="BW289" s="9"/>
      <c r="BZ289" s="10"/>
      <c r="CA289" s="10"/>
    </row>
    <row r="290" spans="4:79" x14ac:dyDescent="0.2">
      <c r="D290" s="9" t="s">
        <v>343</v>
      </c>
      <c r="F290" s="378"/>
      <c r="G290" s="379">
        <v>0</v>
      </c>
      <c r="H290" s="380"/>
      <c r="I290" s="373"/>
      <c r="J290" s="374"/>
      <c r="K290" s="381"/>
      <c r="L290" s="379">
        <v>0</v>
      </c>
      <c r="M290" s="380"/>
      <c r="N290" s="373"/>
      <c r="O290" s="374"/>
      <c r="P290" s="381"/>
      <c r="Q290" s="379">
        <v>29682</v>
      </c>
      <c r="R290" s="380"/>
      <c r="S290" s="373"/>
      <c r="T290" s="374"/>
      <c r="U290" s="381"/>
      <c r="V290" s="379">
        <v>28489</v>
      </c>
      <c r="W290" s="380"/>
      <c r="X290" s="373"/>
      <c r="Y290" s="374"/>
      <c r="Z290" s="381"/>
      <c r="AA290" s="379">
        <v>0</v>
      </c>
      <c r="AB290" s="380"/>
      <c r="AC290" s="373"/>
      <c r="AD290" s="374"/>
      <c r="AE290" s="381"/>
      <c r="AF290" s="379">
        <v>0</v>
      </c>
      <c r="AG290" s="380"/>
      <c r="AH290" s="373"/>
      <c r="AI290" s="374"/>
      <c r="AJ290" s="381"/>
      <c r="AK290" s="379">
        <v>0</v>
      </c>
      <c r="AL290" s="380"/>
      <c r="AM290" s="373"/>
      <c r="AN290" s="374"/>
      <c r="AO290" s="381"/>
      <c r="AP290" s="379">
        <v>0</v>
      </c>
      <c r="AQ290" s="380"/>
      <c r="AR290" s="373"/>
      <c r="AS290" s="374"/>
      <c r="AT290" s="381"/>
      <c r="AU290" s="379">
        <v>0</v>
      </c>
      <c r="AV290" s="380"/>
      <c r="AW290" s="373"/>
      <c r="AX290" s="374"/>
      <c r="AY290" s="381"/>
      <c r="AZ290" s="379">
        <v>59192</v>
      </c>
      <c r="BA290" s="380"/>
      <c r="BB290" s="373"/>
      <c r="BC290" s="374"/>
      <c r="BD290" s="381"/>
      <c r="BE290" s="379">
        <v>0</v>
      </c>
      <c r="BF290" s="380"/>
      <c r="BG290" s="373"/>
      <c r="BH290" s="374"/>
      <c r="BI290" s="381"/>
      <c r="BJ290" s="379">
        <v>0</v>
      </c>
      <c r="BK290" s="380"/>
      <c r="BL290" s="373"/>
      <c r="BM290" s="374"/>
      <c r="BN290" s="381"/>
      <c r="BO290" s="379">
        <v>0</v>
      </c>
      <c r="BP290" s="380"/>
      <c r="BQ290" s="373"/>
      <c r="BR290" s="374"/>
      <c r="BS290" s="381"/>
      <c r="BT290" s="379">
        <f>SUM(L290:BO290)</f>
        <v>117363</v>
      </c>
      <c r="BU290" s="380"/>
      <c r="BV290" s="373"/>
      <c r="BW290" s="9"/>
      <c r="BZ290" s="10"/>
      <c r="CA290" s="10"/>
    </row>
    <row r="291" spans="4:79" x14ac:dyDescent="0.2">
      <c r="D291" s="9"/>
      <c r="G291" s="373"/>
      <c r="H291" s="373"/>
      <c r="I291" s="373"/>
      <c r="J291" s="374"/>
      <c r="K291" s="373"/>
      <c r="L291" s="373"/>
      <c r="M291" s="373"/>
      <c r="N291" s="373"/>
      <c r="O291" s="374"/>
      <c r="P291" s="373"/>
      <c r="Q291" s="373"/>
      <c r="R291" s="373"/>
      <c r="S291" s="373"/>
      <c r="T291" s="374"/>
      <c r="U291" s="373"/>
      <c r="V291" s="373"/>
      <c r="W291" s="373"/>
      <c r="X291" s="373"/>
      <c r="Y291" s="374"/>
      <c r="Z291" s="373"/>
      <c r="AA291" s="373"/>
      <c r="AB291" s="373"/>
      <c r="AC291" s="373"/>
      <c r="AD291" s="374"/>
      <c r="AE291" s="373"/>
      <c r="AF291" s="373"/>
      <c r="AG291" s="373"/>
      <c r="AH291" s="373"/>
      <c r="AI291" s="374"/>
      <c r="AJ291" s="373"/>
      <c r="AK291" s="373"/>
      <c r="AL291" s="373"/>
      <c r="AM291" s="373"/>
      <c r="AN291" s="374"/>
      <c r="AO291" s="373"/>
      <c r="AP291" s="373"/>
      <c r="AQ291" s="373"/>
      <c r="AR291" s="373"/>
      <c r="AS291" s="374"/>
      <c r="AT291" s="373"/>
      <c r="AU291" s="373"/>
      <c r="AV291" s="373"/>
      <c r="AW291" s="373"/>
      <c r="AX291" s="374"/>
      <c r="AY291" s="373"/>
      <c r="AZ291" s="373"/>
      <c r="BA291" s="373"/>
      <c r="BB291" s="373"/>
      <c r="BC291" s="374"/>
      <c r="BD291" s="373"/>
      <c r="BE291" s="373"/>
      <c r="BF291" s="373"/>
      <c r="BG291" s="373"/>
      <c r="BH291" s="374"/>
      <c r="BI291" s="373"/>
      <c r="BJ291" s="373"/>
      <c r="BK291" s="373"/>
      <c r="BL291" s="373"/>
      <c r="BM291" s="374"/>
      <c r="BN291" s="373"/>
      <c r="BO291" s="373"/>
      <c r="BP291" s="373"/>
      <c r="BQ291" s="373"/>
      <c r="BR291" s="374"/>
      <c r="BS291" s="373"/>
      <c r="BT291" s="373"/>
      <c r="BU291" s="373"/>
      <c r="BV291" s="373"/>
      <c r="BW291" s="9"/>
      <c r="BZ291" s="10"/>
      <c r="CA291" s="10"/>
    </row>
    <row r="292" spans="4:79" ht="12.75" customHeight="1" x14ac:dyDescent="0.2">
      <c r="D292" s="9" t="s">
        <v>369</v>
      </c>
      <c r="G292" s="373">
        <f>SUM(G293:G293)</f>
        <v>0</v>
      </c>
      <c r="H292" s="373"/>
      <c r="I292" s="373"/>
      <c r="J292" s="374"/>
      <c r="K292" s="373"/>
      <c r="L292" s="373">
        <f>SUM(L293:L293)</f>
        <v>0</v>
      </c>
      <c r="M292" s="373"/>
      <c r="N292" s="373"/>
      <c r="O292" s="374"/>
      <c r="P292" s="373"/>
      <c r="Q292" s="373">
        <f>SUM(Q293:Q293)</f>
        <v>0</v>
      </c>
      <c r="R292" s="373"/>
      <c r="S292" s="373"/>
      <c r="T292" s="374"/>
      <c r="U292" s="373"/>
      <c r="V292" s="373"/>
      <c r="W292" s="373"/>
      <c r="X292" s="373"/>
      <c r="Y292" s="374"/>
      <c r="Z292" s="373"/>
      <c r="AA292" s="373">
        <f>+AA293</f>
        <v>0</v>
      </c>
      <c r="AB292" s="373"/>
      <c r="AC292" s="373"/>
      <c r="AD292" s="374"/>
      <c r="AE292" s="373"/>
      <c r="AF292" s="373"/>
      <c r="AG292" s="373"/>
      <c r="AH292" s="373"/>
      <c r="AI292" s="374"/>
      <c r="AJ292" s="373"/>
      <c r="AK292" s="373">
        <f>SUM(AK293:AK293)</f>
        <v>0</v>
      </c>
      <c r="AL292" s="373"/>
      <c r="AM292" s="373"/>
      <c r="AN292" s="374"/>
      <c r="AO292" s="373"/>
      <c r="AP292" s="373"/>
      <c r="AQ292" s="373"/>
      <c r="AR292" s="373"/>
      <c r="AS292" s="374"/>
      <c r="AT292" s="373"/>
      <c r="AU292" s="373">
        <f>SUM(AU293)</f>
        <v>85877</v>
      </c>
      <c r="AV292" s="373"/>
      <c r="AW292" s="373"/>
      <c r="AX292" s="374"/>
      <c r="AY292" s="373"/>
      <c r="AZ292" s="373"/>
      <c r="BA292" s="373"/>
      <c r="BB292" s="373"/>
      <c r="BC292" s="374"/>
      <c r="BD292" s="373"/>
      <c r="BE292" s="373">
        <f>SUM(BE293:BE293)</f>
        <v>132680</v>
      </c>
      <c r="BF292" s="373"/>
      <c r="BG292" s="373"/>
      <c r="BH292" s="374"/>
      <c r="BI292" s="373"/>
      <c r="BJ292" s="373">
        <f>SUM(BJ293:BJ293)</f>
        <v>0</v>
      </c>
      <c r="BK292" s="373"/>
      <c r="BL292" s="373"/>
      <c r="BM292" s="374"/>
      <c r="BN292" s="373"/>
      <c r="BO292" s="373">
        <f>SUM(BO293:BO293)</f>
        <v>0</v>
      </c>
      <c r="BP292" s="373"/>
      <c r="BQ292" s="373"/>
      <c r="BR292" s="374"/>
      <c r="BS292" s="373"/>
      <c r="BT292" s="373">
        <f>SUM(BT293:BT293)</f>
        <v>218557</v>
      </c>
      <c r="BU292" s="373"/>
      <c r="BV292" s="373"/>
      <c r="BW292" s="9"/>
      <c r="BZ292" s="10"/>
      <c r="CA292" s="10"/>
    </row>
    <row r="293" spans="4:79" ht="12.75" customHeight="1" x14ac:dyDescent="0.2">
      <c r="D293" s="9" t="s">
        <v>343</v>
      </c>
      <c r="F293" s="378"/>
      <c r="G293" s="379">
        <v>0</v>
      </c>
      <c r="H293" s="380"/>
      <c r="I293" s="373"/>
      <c r="J293" s="374"/>
      <c r="K293" s="381"/>
      <c r="L293" s="405">
        <v>0</v>
      </c>
      <c r="M293" s="380"/>
      <c r="N293" s="373"/>
      <c r="O293" s="374"/>
      <c r="P293" s="381"/>
      <c r="Q293" s="405">
        <v>0</v>
      </c>
      <c r="R293" s="380"/>
      <c r="S293" s="373"/>
      <c r="T293" s="374"/>
      <c r="U293" s="381"/>
      <c r="V293" s="405">
        <v>0</v>
      </c>
      <c r="W293" s="380"/>
      <c r="X293" s="377"/>
      <c r="Y293" s="374"/>
      <c r="Z293" s="381"/>
      <c r="AA293" s="405">
        <v>0</v>
      </c>
      <c r="AB293" s="380"/>
      <c r="AC293" s="384"/>
      <c r="AD293" s="374"/>
      <c r="AE293" s="381"/>
      <c r="AF293" s="405">
        <v>0</v>
      </c>
      <c r="AG293" s="380"/>
      <c r="AH293" s="373"/>
      <c r="AI293" s="374"/>
      <c r="AJ293" s="381"/>
      <c r="AK293" s="405">
        <v>0</v>
      </c>
      <c r="AL293" s="380"/>
      <c r="AM293" s="373"/>
      <c r="AN293" s="374"/>
      <c r="AO293" s="381"/>
      <c r="AP293" s="405">
        <v>0</v>
      </c>
      <c r="AQ293" s="380"/>
      <c r="AR293" s="373"/>
      <c r="AS293" s="374"/>
      <c r="AT293" s="381"/>
      <c r="AU293" s="405">
        <v>85877</v>
      </c>
      <c r="AV293" s="380"/>
      <c r="AW293" s="373"/>
      <c r="AX293" s="374"/>
      <c r="AY293" s="381"/>
      <c r="AZ293" s="405">
        <v>0</v>
      </c>
      <c r="BA293" s="380"/>
      <c r="BB293" s="373"/>
      <c r="BC293" s="374"/>
      <c r="BD293" s="381"/>
      <c r="BE293" s="405">
        <v>132680</v>
      </c>
      <c r="BF293" s="380"/>
      <c r="BG293" s="373"/>
      <c r="BH293" s="374"/>
      <c r="BI293" s="381"/>
      <c r="BJ293" s="405">
        <v>0</v>
      </c>
      <c r="BK293" s="380"/>
      <c r="BL293" s="373"/>
      <c r="BM293" s="374"/>
      <c r="BN293" s="381"/>
      <c r="BO293" s="405">
        <v>0</v>
      </c>
      <c r="BP293" s="380"/>
      <c r="BQ293" s="373"/>
      <c r="BR293" s="374"/>
      <c r="BS293" s="378"/>
      <c r="BT293" s="405">
        <f>SUM(L293:BO293)</f>
        <v>218557</v>
      </c>
      <c r="BU293" s="380"/>
      <c r="BV293" s="373"/>
      <c r="BW293" s="9"/>
      <c r="BZ293" s="10"/>
      <c r="CA293" s="10"/>
    </row>
    <row r="294" spans="4:79" ht="12.75" customHeight="1" x14ac:dyDescent="0.2">
      <c r="D294" s="9"/>
      <c r="G294" s="373"/>
      <c r="H294" s="373"/>
      <c r="I294" s="373"/>
      <c r="J294" s="374"/>
      <c r="K294" s="373"/>
      <c r="L294" s="373"/>
      <c r="M294" s="373"/>
      <c r="N294" s="373"/>
      <c r="O294" s="374"/>
      <c r="P294" s="373"/>
      <c r="Q294" s="373"/>
      <c r="R294" s="373"/>
      <c r="S294" s="373"/>
      <c r="T294" s="374"/>
      <c r="U294" s="373"/>
      <c r="V294" s="373"/>
      <c r="W294" s="373"/>
      <c r="X294" s="373"/>
      <c r="Y294" s="374"/>
      <c r="Z294" s="373"/>
      <c r="AA294" s="373"/>
      <c r="AB294" s="373"/>
      <c r="AC294" s="373"/>
      <c r="AD294" s="374"/>
      <c r="AE294" s="373"/>
      <c r="AF294" s="373"/>
      <c r="AG294" s="373"/>
      <c r="AH294" s="373"/>
      <c r="AI294" s="374"/>
      <c r="AJ294" s="373"/>
      <c r="AK294" s="373"/>
      <c r="AL294" s="373"/>
      <c r="AM294" s="373"/>
      <c r="AN294" s="374"/>
      <c r="AO294" s="373"/>
      <c r="AP294" s="373"/>
      <c r="AQ294" s="373"/>
      <c r="AR294" s="373"/>
      <c r="AS294" s="374"/>
      <c r="AT294" s="373"/>
      <c r="AU294" s="373"/>
      <c r="AV294" s="373"/>
      <c r="AW294" s="373"/>
      <c r="AX294" s="374"/>
      <c r="AY294" s="373"/>
      <c r="AZ294" s="373"/>
      <c r="BA294" s="373"/>
      <c r="BB294" s="373"/>
      <c r="BC294" s="374"/>
      <c r="BD294" s="373"/>
      <c r="BE294" s="373"/>
      <c r="BF294" s="373"/>
      <c r="BG294" s="373"/>
      <c r="BH294" s="374"/>
      <c r="BI294" s="373"/>
      <c r="BJ294" s="373"/>
      <c r="BK294" s="373"/>
      <c r="BL294" s="373"/>
      <c r="BM294" s="374"/>
      <c r="BN294" s="373"/>
      <c r="BO294" s="373"/>
      <c r="BP294" s="373"/>
      <c r="BQ294" s="373"/>
      <c r="BR294" s="374"/>
      <c r="BS294" s="373"/>
      <c r="BT294" s="373"/>
      <c r="BU294" s="373"/>
      <c r="BV294" s="373"/>
      <c r="BW294" s="9"/>
      <c r="BZ294" s="10"/>
      <c r="CA294" s="10"/>
    </row>
    <row r="295" spans="4:79" x14ac:dyDescent="0.2">
      <c r="D295" s="9" t="s">
        <v>376</v>
      </c>
      <c r="G295" s="373">
        <f>SUM(G296:G296)</f>
        <v>0</v>
      </c>
      <c r="H295" s="373"/>
      <c r="I295" s="373"/>
      <c r="J295" s="374"/>
      <c r="K295" s="373"/>
      <c r="L295" s="373">
        <f>SUM(L296:L296)</f>
        <v>0</v>
      </c>
      <c r="M295" s="373"/>
      <c r="N295" s="373"/>
      <c r="O295" s="374"/>
      <c r="P295" s="373"/>
      <c r="Q295" s="373">
        <f>SUM(Q296:Q296)</f>
        <v>0</v>
      </c>
      <c r="R295" s="373"/>
      <c r="S295" s="373"/>
      <c r="T295" s="374"/>
      <c r="U295" s="373"/>
      <c r="V295" s="373">
        <f>SUM(V296:V296)</f>
        <v>0</v>
      </c>
      <c r="W295" s="373"/>
      <c r="X295" s="373"/>
      <c r="Y295" s="374"/>
      <c r="Z295" s="373"/>
      <c r="AA295" s="373">
        <f>SUM(AA296:AA296)</f>
        <v>0</v>
      </c>
      <c r="AB295" s="373"/>
      <c r="AC295" s="373"/>
      <c r="AD295" s="374"/>
      <c r="AE295" s="373"/>
      <c r="AF295" s="373">
        <f>SUM(AF296:AF296)</f>
        <v>0</v>
      </c>
      <c r="AG295" s="373"/>
      <c r="AH295" s="373"/>
      <c r="AI295" s="374"/>
      <c r="AJ295" s="373"/>
      <c r="AK295" s="373">
        <f>SUM(AK296:AK296)</f>
        <v>0</v>
      </c>
      <c r="AL295" s="373"/>
      <c r="AM295" s="373"/>
      <c r="AN295" s="374"/>
      <c r="AO295" s="373"/>
      <c r="AP295" s="373">
        <f>SUM(AP296:AP296)</f>
        <v>0</v>
      </c>
      <c r="AQ295" s="373"/>
      <c r="AR295" s="373"/>
      <c r="AS295" s="374"/>
      <c r="AT295" s="373"/>
      <c r="AU295" s="373">
        <f>SUM(AU296:AU296)</f>
        <v>0</v>
      </c>
      <c r="AV295" s="373"/>
      <c r="AW295" s="373"/>
      <c r="AX295" s="374"/>
      <c r="AY295" s="373"/>
      <c r="AZ295" s="373">
        <f>SUM(AZ296:AZ296)</f>
        <v>0</v>
      </c>
      <c r="BA295" s="373"/>
      <c r="BB295" s="373"/>
      <c r="BC295" s="374"/>
      <c r="BD295" s="373"/>
      <c r="BE295" s="373">
        <f>SUM(BE296:BE296)</f>
        <v>0</v>
      </c>
      <c r="BF295" s="373"/>
      <c r="BG295" s="373"/>
      <c r="BH295" s="374"/>
      <c r="BI295" s="373"/>
      <c r="BJ295" s="373">
        <f>SUM(BJ296:BJ296)</f>
        <v>0</v>
      </c>
      <c r="BK295" s="373"/>
      <c r="BL295" s="373"/>
      <c r="BM295" s="374"/>
      <c r="BN295" s="373"/>
      <c r="BO295" s="373">
        <f>SUM(BO296:BO296)</f>
        <v>0</v>
      </c>
      <c r="BP295" s="373"/>
      <c r="BQ295" s="373"/>
      <c r="BR295" s="374"/>
      <c r="BS295" s="373"/>
      <c r="BT295" s="373">
        <f>SUM(BT296:BT296)</f>
        <v>0</v>
      </c>
      <c r="BU295" s="373"/>
      <c r="BV295" s="373"/>
      <c r="BW295" s="9"/>
      <c r="BZ295" s="10"/>
      <c r="CA295" s="10"/>
    </row>
    <row r="296" spans="4:79" x14ac:dyDescent="0.2">
      <c r="D296" s="9" t="s">
        <v>343</v>
      </c>
      <c r="F296" s="378"/>
      <c r="G296" s="379">
        <v>0</v>
      </c>
      <c r="H296" s="380"/>
      <c r="I296" s="373"/>
      <c r="J296" s="374"/>
      <c r="K296" s="381"/>
      <c r="L296" s="405">
        <v>0</v>
      </c>
      <c r="M296" s="380"/>
      <c r="N296" s="373"/>
      <c r="O296" s="374"/>
      <c r="P296" s="381"/>
      <c r="Q296" s="405">
        <v>0</v>
      </c>
      <c r="R296" s="380"/>
      <c r="S296" s="373"/>
      <c r="T296" s="374"/>
      <c r="U296" s="381"/>
      <c r="V296" s="405">
        <v>0</v>
      </c>
      <c r="W296" s="380"/>
      <c r="X296" s="377"/>
      <c r="Y296" s="374"/>
      <c r="Z296" s="381"/>
      <c r="AA296" s="405">
        <v>0</v>
      </c>
      <c r="AB296" s="380"/>
      <c r="AC296" s="384"/>
      <c r="AD296" s="374"/>
      <c r="AE296" s="381"/>
      <c r="AF296" s="405">
        <v>0</v>
      </c>
      <c r="AG296" s="380"/>
      <c r="AH296" s="373"/>
      <c r="AI296" s="374"/>
      <c r="AJ296" s="381"/>
      <c r="AK296" s="405">
        <v>0</v>
      </c>
      <c r="AL296" s="380"/>
      <c r="AM296" s="373"/>
      <c r="AN296" s="374"/>
      <c r="AO296" s="381"/>
      <c r="AP296" s="405">
        <v>0</v>
      </c>
      <c r="AQ296" s="380"/>
      <c r="AR296" s="373"/>
      <c r="AS296" s="374"/>
      <c r="AT296" s="381"/>
      <c r="AU296" s="405">
        <v>0</v>
      </c>
      <c r="AV296" s="380"/>
      <c r="AW296" s="373"/>
      <c r="AX296" s="374"/>
      <c r="AY296" s="381"/>
      <c r="AZ296" s="405">
        <v>0</v>
      </c>
      <c r="BA296" s="380"/>
      <c r="BB296" s="373"/>
      <c r="BC296" s="374"/>
      <c r="BD296" s="381"/>
      <c r="BE296" s="405">
        <v>0</v>
      </c>
      <c r="BF296" s="380"/>
      <c r="BG296" s="373"/>
      <c r="BH296" s="374"/>
      <c r="BI296" s="381"/>
      <c r="BJ296" s="405">
        <v>0</v>
      </c>
      <c r="BK296" s="380"/>
      <c r="BL296" s="373"/>
      <c r="BM296" s="374"/>
      <c r="BN296" s="381"/>
      <c r="BO296" s="405">
        <v>0</v>
      </c>
      <c r="BP296" s="380">
        <v>0</v>
      </c>
      <c r="BQ296" s="373"/>
      <c r="BR296" s="374"/>
      <c r="BS296" s="378">
        <v>54207</v>
      </c>
      <c r="BT296" s="405">
        <f>SUM(L296:BO296)</f>
        <v>0</v>
      </c>
      <c r="BU296" s="380">
        <v>0</v>
      </c>
      <c r="BV296" s="373"/>
      <c r="BW296" s="9"/>
      <c r="BZ296" s="10"/>
      <c r="CA296" s="10"/>
    </row>
    <row r="297" spans="4:79" x14ac:dyDescent="0.2">
      <c r="D297" s="9"/>
      <c r="G297" s="373"/>
      <c r="H297" s="373"/>
      <c r="I297" s="373"/>
      <c r="J297" s="374"/>
      <c r="K297" s="373"/>
      <c r="L297" s="373"/>
      <c r="M297" s="373"/>
      <c r="N297" s="373"/>
      <c r="O297" s="374"/>
      <c r="P297" s="373"/>
      <c r="Q297" s="373"/>
      <c r="R297" s="373"/>
      <c r="S297" s="373"/>
      <c r="T297" s="374"/>
      <c r="U297" s="373"/>
      <c r="V297" s="373"/>
      <c r="W297" s="373"/>
      <c r="X297" s="373"/>
      <c r="Y297" s="374"/>
      <c r="Z297" s="373"/>
      <c r="AA297" s="373"/>
      <c r="AB297" s="373"/>
      <c r="AC297" s="373"/>
      <c r="AD297" s="374"/>
      <c r="AE297" s="373"/>
      <c r="AF297" s="373"/>
      <c r="AG297" s="373"/>
      <c r="AH297" s="373"/>
      <c r="AI297" s="374"/>
      <c r="AJ297" s="373"/>
      <c r="AK297" s="373"/>
      <c r="AL297" s="373"/>
      <c r="AM297" s="373"/>
      <c r="AN297" s="374"/>
      <c r="AO297" s="373"/>
      <c r="AP297" s="373"/>
      <c r="AQ297" s="373"/>
      <c r="AR297" s="373"/>
      <c r="AS297" s="374"/>
      <c r="AT297" s="373"/>
      <c r="AU297" s="373"/>
      <c r="AV297" s="373"/>
      <c r="AW297" s="373"/>
      <c r="AX297" s="374"/>
      <c r="AY297" s="373"/>
      <c r="AZ297" s="373"/>
      <c r="BA297" s="373"/>
      <c r="BB297" s="373"/>
      <c r="BC297" s="374"/>
      <c r="BD297" s="373"/>
      <c r="BE297" s="373"/>
      <c r="BF297" s="373"/>
      <c r="BG297" s="373"/>
      <c r="BH297" s="374"/>
      <c r="BI297" s="373"/>
      <c r="BJ297" s="373"/>
      <c r="BK297" s="373"/>
      <c r="BL297" s="373"/>
      <c r="BM297" s="374"/>
      <c r="BN297" s="373"/>
      <c r="BO297" s="373"/>
      <c r="BP297" s="373"/>
      <c r="BQ297" s="373"/>
      <c r="BR297" s="374"/>
      <c r="BS297" s="373"/>
      <c r="BT297" s="373"/>
      <c r="BU297" s="373"/>
      <c r="BV297" s="373"/>
      <c r="BW297" s="9"/>
      <c r="BZ297" s="10"/>
      <c r="CA297" s="10"/>
    </row>
    <row r="298" spans="4:79" ht="12.75" customHeight="1" x14ac:dyDescent="0.2">
      <c r="D298" s="9" t="s">
        <v>356</v>
      </c>
      <c r="G298" s="373">
        <f>SUM(G299)</f>
        <v>0</v>
      </c>
      <c r="H298" s="373"/>
      <c r="I298" s="373"/>
      <c r="J298" s="374"/>
      <c r="K298" s="373"/>
      <c r="L298" s="373">
        <f>SUM(L299:L299)</f>
        <v>0</v>
      </c>
      <c r="M298" s="373"/>
      <c r="N298" s="373"/>
      <c r="O298" s="374"/>
      <c r="P298" s="373"/>
      <c r="Q298" s="373">
        <f>SUM(Q299:Q299)</f>
        <v>0</v>
      </c>
      <c r="R298" s="373"/>
      <c r="S298" s="373"/>
      <c r="T298" s="374"/>
      <c r="U298" s="373"/>
      <c r="V298" s="373">
        <f>SUM(V299:V299)</f>
        <v>0</v>
      </c>
      <c r="W298" s="373"/>
      <c r="X298" s="373"/>
      <c r="Y298" s="374"/>
      <c r="Z298" s="373"/>
      <c r="AA298" s="373">
        <f>SUM(AA299:AA299)</f>
        <v>0</v>
      </c>
      <c r="AB298" s="373"/>
      <c r="AC298" s="373"/>
      <c r="AD298" s="374"/>
      <c r="AE298" s="373"/>
      <c r="AF298" s="373">
        <f>SUM(AF299:AF299)</f>
        <v>0</v>
      </c>
      <c r="AG298" s="373"/>
      <c r="AH298" s="373"/>
      <c r="AI298" s="374"/>
      <c r="AJ298" s="373"/>
      <c r="AK298" s="373">
        <f>SUM(AK299:AK299)</f>
        <v>0</v>
      </c>
      <c r="AL298" s="373"/>
      <c r="AM298" s="373"/>
      <c r="AN298" s="374"/>
      <c r="AO298" s="373"/>
      <c r="AP298" s="373">
        <f>SUM(AP299:AP299)</f>
        <v>0</v>
      </c>
      <c r="AQ298" s="373"/>
      <c r="AR298" s="373"/>
      <c r="AS298" s="374"/>
      <c r="AT298" s="373"/>
      <c r="AU298" s="373">
        <f>SUM(AU299:AU299)</f>
        <v>0</v>
      </c>
      <c r="AV298" s="373"/>
      <c r="AW298" s="373"/>
      <c r="AX298" s="374"/>
      <c r="AY298" s="373"/>
      <c r="AZ298" s="373">
        <f>SUM(AZ299:AZ299)</f>
        <v>0</v>
      </c>
      <c r="BA298" s="373"/>
      <c r="BB298" s="373"/>
      <c r="BC298" s="374"/>
      <c r="BD298" s="373"/>
      <c r="BE298" s="373">
        <f>SUM(BE299:BE299)</f>
        <v>0</v>
      </c>
      <c r="BF298" s="373"/>
      <c r="BG298" s="373"/>
      <c r="BH298" s="374"/>
      <c r="BI298" s="373"/>
      <c r="BJ298" s="373">
        <f>SUM(BJ299:BJ299)</f>
        <v>0</v>
      </c>
      <c r="BK298" s="373"/>
      <c r="BL298" s="373"/>
      <c r="BM298" s="374"/>
      <c r="BN298" s="373"/>
      <c r="BO298" s="373">
        <f>SUM(BO299:BO299)</f>
        <v>0</v>
      </c>
      <c r="BP298" s="373"/>
      <c r="BQ298" s="373"/>
      <c r="BR298" s="374"/>
      <c r="BS298" s="373"/>
      <c r="BT298" s="373">
        <f>SUM(BT299:BT299)</f>
        <v>0</v>
      </c>
      <c r="BU298" s="373"/>
      <c r="BV298" s="373"/>
      <c r="BW298" s="9"/>
      <c r="BZ298" s="10"/>
      <c r="CA298" s="10"/>
    </row>
    <row r="299" spans="4:79" ht="12.75" customHeight="1" x14ac:dyDescent="0.2">
      <c r="D299" s="9" t="s">
        <v>343</v>
      </c>
      <c r="F299" s="378"/>
      <c r="G299" s="379">
        <v>0</v>
      </c>
      <c r="H299" s="380"/>
      <c r="I299" s="373"/>
      <c r="J299" s="374"/>
      <c r="K299" s="381"/>
      <c r="L299" s="379">
        <v>0</v>
      </c>
      <c r="M299" s="380"/>
      <c r="N299" s="373"/>
      <c r="O299" s="374"/>
      <c r="P299" s="381"/>
      <c r="Q299" s="379">
        <v>0</v>
      </c>
      <c r="R299" s="380"/>
      <c r="S299" s="373"/>
      <c r="T299" s="374"/>
      <c r="U299" s="381"/>
      <c r="V299" s="379">
        <v>0</v>
      </c>
      <c r="W299" s="380"/>
      <c r="X299" s="373"/>
      <c r="Y299" s="374"/>
      <c r="Z299" s="381"/>
      <c r="AA299" s="379">
        <v>0</v>
      </c>
      <c r="AB299" s="380"/>
      <c r="AC299" s="373"/>
      <c r="AD299" s="374"/>
      <c r="AE299" s="381"/>
      <c r="AF299" s="379">
        <v>0</v>
      </c>
      <c r="AG299" s="380"/>
      <c r="AH299" s="373"/>
      <c r="AI299" s="374"/>
      <c r="AJ299" s="381"/>
      <c r="AK299" s="379">
        <v>0</v>
      </c>
      <c r="AL299" s="380"/>
      <c r="AM299" s="373"/>
      <c r="AN299" s="374"/>
      <c r="AO299" s="381"/>
      <c r="AP299" s="379">
        <v>0</v>
      </c>
      <c r="AQ299" s="380"/>
      <c r="AR299" s="373"/>
      <c r="AS299" s="374"/>
      <c r="AT299" s="381"/>
      <c r="AU299" s="379">
        <v>0</v>
      </c>
      <c r="AV299" s="380"/>
      <c r="AW299" s="373"/>
      <c r="AX299" s="374"/>
      <c r="AY299" s="381"/>
      <c r="AZ299" s="379">
        <v>0</v>
      </c>
      <c r="BA299" s="380"/>
      <c r="BB299" s="373"/>
      <c r="BC299" s="374"/>
      <c r="BD299" s="381"/>
      <c r="BE299" s="379">
        <v>0</v>
      </c>
      <c r="BF299" s="380"/>
      <c r="BG299" s="373"/>
      <c r="BH299" s="374"/>
      <c r="BI299" s="381"/>
      <c r="BJ299" s="379">
        <v>0</v>
      </c>
      <c r="BK299" s="380"/>
      <c r="BL299" s="373"/>
      <c r="BM299" s="374"/>
      <c r="BN299" s="381"/>
      <c r="BO299" s="379">
        <v>0</v>
      </c>
      <c r="BP299" s="380"/>
      <c r="BQ299" s="373"/>
      <c r="BR299" s="374"/>
      <c r="BS299" s="381"/>
      <c r="BT299" s="379">
        <f>SUM(L299:BO299)</f>
        <v>0</v>
      </c>
      <c r="BU299" s="380"/>
      <c r="BV299" s="373"/>
      <c r="BW299" s="9"/>
      <c r="BZ299" s="10"/>
      <c r="CA299" s="10"/>
    </row>
    <row r="300" spans="4:79" ht="12.75" hidden="1" customHeight="1" x14ac:dyDescent="0.2">
      <c r="D300" s="9"/>
      <c r="G300" s="373"/>
      <c r="H300" s="373"/>
      <c r="I300" s="373"/>
      <c r="J300" s="374"/>
      <c r="K300" s="373"/>
      <c r="L300" s="373"/>
      <c r="M300" s="373"/>
      <c r="N300" s="373"/>
      <c r="O300" s="374"/>
      <c r="P300" s="373"/>
      <c r="Q300" s="373"/>
      <c r="R300" s="373"/>
      <c r="S300" s="373"/>
      <c r="T300" s="374"/>
      <c r="U300" s="373"/>
      <c r="V300" s="373"/>
      <c r="W300" s="373"/>
      <c r="X300" s="373"/>
      <c r="Y300" s="374"/>
      <c r="Z300" s="373"/>
      <c r="AA300" s="373"/>
      <c r="AB300" s="373"/>
      <c r="AC300" s="373"/>
      <c r="AD300" s="374"/>
      <c r="AE300" s="373"/>
      <c r="AF300" s="373"/>
      <c r="AG300" s="373"/>
      <c r="AH300" s="373"/>
      <c r="AI300" s="374"/>
      <c r="AJ300" s="373"/>
      <c r="AK300" s="373"/>
      <c r="AL300" s="373"/>
      <c r="AM300" s="373"/>
      <c r="AN300" s="374"/>
      <c r="AO300" s="373"/>
      <c r="AP300" s="373"/>
      <c r="AQ300" s="373"/>
      <c r="AR300" s="373"/>
      <c r="AS300" s="374"/>
      <c r="AT300" s="373"/>
      <c r="AU300" s="373"/>
      <c r="AV300" s="373"/>
      <c r="AW300" s="373"/>
      <c r="AX300" s="374"/>
      <c r="AY300" s="373"/>
      <c r="AZ300" s="373"/>
      <c r="BA300" s="373"/>
      <c r="BB300" s="373"/>
      <c r="BC300" s="374"/>
      <c r="BD300" s="373"/>
      <c r="BE300" s="373"/>
      <c r="BF300" s="373"/>
      <c r="BG300" s="373"/>
      <c r="BH300" s="374"/>
      <c r="BI300" s="373"/>
      <c r="BJ300" s="373"/>
      <c r="BK300" s="373"/>
      <c r="BL300" s="373"/>
      <c r="BM300" s="374"/>
      <c r="BN300" s="373"/>
      <c r="BO300" s="373"/>
      <c r="BP300" s="373"/>
      <c r="BQ300" s="373"/>
      <c r="BR300" s="374"/>
      <c r="BS300" s="373"/>
      <c r="BT300" s="373"/>
      <c r="BU300" s="373"/>
      <c r="BV300" s="373"/>
      <c r="BW300" s="9"/>
      <c r="BZ300" s="10"/>
      <c r="CA300" s="10"/>
    </row>
    <row r="301" spans="4:79" hidden="1" x14ac:dyDescent="0.2">
      <c r="D301" s="9" t="s">
        <v>405</v>
      </c>
      <c r="G301" s="373">
        <v>0</v>
      </c>
      <c r="H301" s="373"/>
      <c r="I301" s="373"/>
      <c r="J301" s="374"/>
      <c r="L301" s="373">
        <f>SUM(L302)</f>
        <v>0</v>
      </c>
      <c r="M301" s="373"/>
      <c r="N301" s="373"/>
      <c r="O301" s="374"/>
      <c r="Q301" s="373">
        <f>SUM(Q302)</f>
        <v>0</v>
      </c>
      <c r="R301" s="373"/>
      <c r="S301" s="373"/>
      <c r="T301" s="374"/>
      <c r="V301" s="373">
        <f>SUM(V302)</f>
        <v>0</v>
      </c>
      <c r="W301" s="373"/>
      <c r="X301" s="373"/>
      <c r="Y301" s="374"/>
      <c r="AA301" s="373">
        <f>SUM(AA302)</f>
        <v>0</v>
      </c>
      <c r="AB301" s="373"/>
      <c r="AC301" s="373"/>
      <c r="AD301" s="374"/>
      <c r="AF301" s="373">
        <f>SUM(AF302)</f>
        <v>0</v>
      </c>
      <c r="AG301" s="373"/>
      <c r="AH301" s="373"/>
      <c r="AI301" s="374"/>
      <c r="AK301" s="373">
        <f>SUM(AK302)</f>
        <v>0</v>
      </c>
      <c r="AL301" s="373"/>
      <c r="AM301" s="373"/>
      <c r="AN301" s="374"/>
      <c r="AP301" s="373">
        <f>SUM(AP302)</f>
        <v>0</v>
      </c>
      <c r="AQ301" s="373"/>
      <c r="AR301" s="373"/>
      <c r="AS301" s="374"/>
      <c r="AU301" s="373">
        <f>SUM(AU302)</f>
        <v>0</v>
      </c>
      <c r="AV301" s="373"/>
      <c r="AW301" s="373"/>
      <c r="AX301" s="374"/>
      <c r="AZ301" s="373">
        <f>SUM(AZ302)</f>
        <v>0</v>
      </c>
      <c r="BA301" s="373"/>
      <c r="BB301" s="373"/>
      <c r="BC301" s="374"/>
      <c r="BE301" s="373">
        <f>SUM(BE302)</f>
        <v>0</v>
      </c>
      <c r="BF301" s="373"/>
      <c r="BG301" s="373"/>
      <c r="BH301" s="374"/>
      <c r="BJ301" s="373">
        <f>SUM(BJ302)</f>
        <v>0</v>
      </c>
      <c r="BK301" s="373"/>
      <c r="BL301" s="373"/>
      <c r="BM301" s="374"/>
      <c r="BO301" s="373">
        <f>SUM(BO302)</f>
        <v>0</v>
      </c>
      <c r="BP301" s="373"/>
      <c r="BQ301" s="373"/>
      <c r="BR301" s="374"/>
      <c r="BT301" s="373">
        <f>SUM(BT302:BT302)</f>
        <v>0</v>
      </c>
      <c r="BU301" s="373"/>
      <c r="BV301" s="373"/>
      <c r="BW301" s="9"/>
      <c r="BZ301" s="10"/>
      <c r="CA301" s="10"/>
    </row>
    <row r="302" spans="4:79" hidden="1" x14ac:dyDescent="0.2">
      <c r="D302" s="9" t="s">
        <v>343</v>
      </c>
      <c r="F302" s="378"/>
      <c r="G302" s="379">
        <v>0</v>
      </c>
      <c r="H302" s="380"/>
      <c r="I302" s="373"/>
      <c r="J302" s="374"/>
      <c r="K302" s="378"/>
      <c r="L302" s="379">
        <v>0</v>
      </c>
      <c r="M302" s="380"/>
      <c r="N302" s="373"/>
      <c r="O302" s="374"/>
      <c r="P302" s="378"/>
      <c r="Q302" s="379">
        <v>0</v>
      </c>
      <c r="R302" s="380"/>
      <c r="S302" s="373"/>
      <c r="T302" s="374"/>
      <c r="U302" s="378"/>
      <c r="V302" s="379">
        <v>0</v>
      </c>
      <c r="W302" s="380"/>
      <c r="X302" s="373"/>
      <c r="Y302" s="374"/>
      <c r="Z302" s="378"/>
      <c r="AA302" s="379">
        <v>0</v>
      </c>
      <c r="AB302" s="380"/>
      <c r="AC302" s="373"/>
      <c r="AD302" s="374"/>
      <c r="AE302" s="378"/>
      <c r="AF302" s="379">
        <v>0</v>
      </c>
      <c r="AG302" s="380"/>
      <c r="AH302" s="373"/>
      <c r="AI302" s="374"/>
      <c r="AJ302" s="378"/>
      <c r="AK302" s="379">
        <v>0</v>
      </c>
      <c r="AL302" s="380"/>
      <c r="AM302" s="373"/>
      <c r="AN302" s="374"/>
      <c r="AO302" s="378"/>
      <c r="AP302" s="379">
        <v>0</v>
      </c>
      <c r="AQ302" s="380"/>
      <c r="AR302" s="373"/>
      <c r="AS302" s="374"/>
      <c r="AT302" s="378"/>
      <c r="AU302" s="379">
        <v>0</v>
      </c>
      <c r="AV302" s="380"/>
      <c r="AW302" s="373"/>
      <c r="AX302" s="374"/>
      <c r="AY302" s="378"/>
      <c r="AZ302" s="379">
        <v>0</v>
      </c>
      <c r="BA302" s="380"/>
      <c r="BB302" s="373"/>
      <c r="BC302" s="374"/>
      <c r="BD302" s="378"/>
      <c r="BE302" s="379">
        <v>0</v>
      </c>
      <c r="BF302" s="380"/>
      <c r="BG302" s="373"/>
      <c r="BH302" s="374"/>
      <c r="BI302" s="378"/>
      <c r="BJ302" s="379">
        <v>0</v>
      </c>
      <c r="BK302" s="380"/>
      <c r="BL302" s="373"/>
      <c r="BM302" s="374"/>
      <c r="BN302" s="378"/>
      <c r="BO302" s="379">
        <v>0</v>
      </c>
      <c r="BP302" s="380"/>
      <c r="BQ302" s="373"/>
      <c r="BR302" s="374"/>
      <c r="BS302" s="378"/>
      <c r="BT302" s="379">
        <f>SUM(L302:BO302)</f>
        <v>0</v>
      </c>
      <c r="BU302" s="380"/>
      <c r="BV302" s="373"/>
      <c r="BW302" s="9"/>
      <c r="BZ302" s="10"/>
      <c r="CA302" s="10"/>
    </row>
    <row r="303" spans="4:79" hidden="1" x14ac:dyDescent="0.2">
      <c r="D303" s="9"/>
      <c r="G303" s="373"/>
      <c r="H303" s="373"/>
      <c r="I303" s="373"/>
      <c r="J303" s="374"/>
      <c r="K303" s="373"/>
      <c r="L303" s="373"/>
      <c r="M303" s="373"/>
      <c r="N303" s="373"/>
      <c r="O303" s="374"/>
      <c r="P303" s="373"/>
      <c r="Q303" s="373"/>
      <c r="R303" s="373"/>
      <c r="S303" s="373"/>
      <c r="T303" s="374"/>
      <c r="U303" s="373"/>
      <c r="V303" s="373"/>
      <c r="W303" s="373"/>
      <c r="X303" s="373"/>
      <c r="Y303" s="374"/>
      <c r="Z303" s="373"/>
      <c r="AA303" s="373"/>
      <c r="AB303" s="373"/>
      <c r="AC303" s="373"/>
      <c r="AD303" s="374"/>
      <c r="AE303" s="373"/>
      <c r="AF303" s="373"/>
      <c r="AG303" s="373"/>
      <c r="AH303" s="373"/>
      <c r="AI303" s="374"/>
      <c r="AJ303" s="373"/>
      <c r="AK303" s="373"/>
      <c r="AL303" s="373"/>
      <c r="AM303" s="373"/>
      <c r="AN303" s="374"/>
      <c r="AO303" s="373"/>
      <c r="AP303" s="373"/>
      <c r="AQ303" s="373"/>
      <c r="AR303" s="373"/>
      <c r="AS303" s="374"/>
      <c r="AT303" s="373"/>
      <c r="AU303" s="373"/>
      <c r="AV303" s="373"/>
      <c r="AW303" s="373"/>
      <c r="AX303" s="374"/>
      <c r="AY303" s="373"/>
      <c r="AZ303" s="373"/>
      <c r="BA303" s="373"/>
      <c r="BB303" s="373"/>
      <c r="BC303" s="374"/>
      <c r="BD303" s="373"/>
      <c r="BE303" s="373"/>
      <c r="BF303" s="373"/>
      <c r="BG303" s="373"/>
      <c r="BH303" s="374"/>
      <c r="BI303" s="373"/>
      <c r="BJ303" s="373"/>
      <c r="BK303" s="373"/>
      <c r="BL303" s="373"/>
      <c r="BM303" s="374"/>
      <c r="BN303" s="373"/>
      <c r="BO303" s="373"/>
      <c r="BP303" s="373"/>
      <c r="BQ303" s="373"/>
      <c r="BR303" s="374"/>
      <c r="BS303" s="373"/>
      <c r="BT303" s="373"/>
      <c r="BU303" s="373"/>
      <c r="BV303" s="373"/>
      <c r="BW303" s="9"/>
      <c r="BZ303" s="10"/>
      <c r="CA303" s="10"/>
    </row>
    <row r="304" spans="4:79" ht="12.75" hidden="1" customHeight="1" x14ac:dyDescent="0.2">
      <c r="D304" s="9" t="s">
        <v>406</v>
      </c>
      <c r="G304" s="373">
        <v>0</v>
      </c>
      <c r="H304" s="373"/>
      <c r="I304" s="373"/>
      <c r="J304" s="374"/>
      <c r="K304" s="373"/>
      <c r="L304" s="373">
        <f>SUM(L305:L305)</f>
        <v>0</v>
      </c>
      <c r="M304" s="373"/>
      <c r="N304" s="373"/>
      <c r="O304" s="374"/>
      <c r="P304" s="373"/>
      <c r="Q304" s="373">
        <f>SUM(Q305:Q305)</f>
        <v>0</v>
      </c>
      <c r="R304" s="373"/>
      <c r="S304" s="373"/>
      <c r="T304" s="374"/>
      <c r="U304" s="373"/>
      <c r="V304" s="373">
        <f>SUM(V305:V305)</f>
        <v>0</v>
      </c>
      <c r="W304" s="373"/>
      <c r="X304" s="373"/>
      <c r="Y304" s="374"/>
      <c r="Z304" s="373"/>
      <c r="AA304" s="373">
        <f>SUM(AA305:AA305)</f>
        <v>0</v>
      </c>
      <c r="AB304" s="373"/>
      <c r="AC304" s="373"/>
      <c r="AD304" s="374"/>
      <c r="AE304" s="373"/>
      <c r="AF304" s="373">
        <f>SUM(AF305:AF305)</f>
        <v>0</v>
      </c>
      <c r="AG304" s="373"/>
      <c r="AH304" s="373"/>
      <c r="AI304" s="374"/>
      <c r="AJ304" s="373"/>
      <c r="AK304" s="373">
        <f>SUM(AK305:AK305)</f>
        <v>0</v>
      </c>
      <c r="AL304" s="373"/>
      <c r="AM304" s="373"/>
      <c r="AN304" s="374"/>
      <c r="AO304" s="373"/>
      <c r="AP304" s="373">
        <f>SUM(AP305:AP305)</f>
        <v>0</v>
      </c>
      <c r="AQ304" s="373"/>
      <c r="AR304" s="373"/>
      <c r="AS304" s="374"/>
      <c r="AT304" s="373"/>
      <c r="AU304" s="373">
        <f>SUM(AU305:AU305)</f>
        <v>0</v>
      </c>
      <c r="AV304" s="373"/>
      <c r="AW304" s="373"/>
      <c r="AX304" s="374"/>
      <c r="AY304" s="373"/>
      <c r="AZ304" s="373">
        <f>SUM(AZ305:AZ305)</f>
        <v>0</v>
      </c>
      <c r="BA304" s="373"/>
      <c r="BB304" s="373"/>
      <c r="BC304" s="374"/>
      <c r="BD304" s="373"/>
      <c r="BE304" s="373">
        <f>SUM(BE305:BE305)</f>
        <v>0</v>
      </c>
      <c r="BF304" s="373"/>
      <c r="BG304" s="373"/>
      <c r="BH304" s="374"/>
      <c r="BI304" s="373"/>
      <c r="BJ304" s="373">
        <f>SUM(BJ305:BJ305)</f>
        <v>0</v>
      </c>
      <c r="BK304" s="373"/>
      <c r="BL304" s="373"/>
      <c r="BM304" s="374"/>
      <c r="BN304" s="373"/>
      <c r="BO304" s="373">
        <f>SUM(BO305:BO305)</f>
        <v>0</v>
      </c>
      <c r="BP304" s="373"/>
      <c r="BQ304" s="373"/>
      <c r="BR304" s="374"/>
      <c r="BS304" s="373"/>
      <c r="BT304" s="373">
        <f>SUM(BT305:BT305)</f>
        <v>0</v>
      </c>
      <c r="BU304" s="373"/>
      <c r="BV304" s="373"/>
      <c r="BW304" s="9"/>
      <c r="BZ304" s="10"/>
      <c r="CA304" s="10"/>
    </row>
    <row r="305" spans="4:79" ht="12.75" hidden="1" customHeight="1" x14ac:dyDescent="0.2">
      <c r="D305" s="9" t="s">
        <v>343</v>
      </c>
      <c r="F305" s="378"/>
      <c r="G305" s="379">
        <v>0</v>
      </c>
      <c r="H305" s="380"/>
      <c r="I305" s="373"/>
      <c r="J305" s="374"/>
      <c r="K305" s="381"/>
      <c r="L305" s="379">
        <v>0</v>
      </c>
      <c r="M305" s="380"/>
      <c r="N305" s="373"/>
      <c r="O305" s="374"/>
      <c r="P305" s="381"/>
      <c r="Q305" s="379">
        <v>0</v>
      </c>
      <c r="R305" s="380"/>
      <c r="S305" s="373"/>
      <c r="T305" s="374"/>
      <c r="U305" s="381"/>
      <c r="V305" s="379">
        <v>0</v>
      </c>
      <c r="W305" s="380"/>
      <c r="X305" s="373"/>
      <c r="Y305" s="374"/>
      <c r="Z305" s="381"/>
      <c r="AA305" s="379">
        <v>0</v>
      </c>
      <c r="AB305" s="380"/>
      <c r="AC305" s="373"/>
      <c r="AD305" s="374"/>
      <c r="AE305" s="381"/>
      <c r="AF305" s="379">
        <v>0</v>
      </c>
      <c r="AG305" s="380"/>
      <c r="AH305" s="373"/>
      <c r="AI305" s="374"/>
      <c r="AJ305" s="381"/>
      <c r="AK305" s="379">
        <v>0</v>
      </c>
      <c r="AL305" s="380"/>
      <c r="AM305" s="373"/>
      <c r="AN305" s="374"/>
      <c r="AO305" s="381"/>
      <c r="AP305" s="379">
        <v>0</v>
      </c>
      <c r="AQ305" s="380"/>
      <c r="AR305" s="373"/>
      <c r="AS305" s="374"/>
      <c r="AT305" s="381"/>
      <c r="AU305" s="379">
        <v>0</v>
      </c>
      <c r="AV305" s="380"/>
      <c r="AW305" s="373"/>
      <c r="AX305" s="374"/>
      <c r="AY305" s="381"/>
      <c r="AZ305" s="379">
        <v>0</v>
      </c>
      <c r="BA305" s="380"/>
      <c r="BB305" s="373"/>
      <c r="BC305" s="374"/>
      <c r="BD305" s="381"/>
      <c r="BE305" s="379">
        <v>0</v>
      </c>
      <c r="BF305" s="380"/>
      <c r="BG305" s="373"/>
      <c r="BH305" s="374"/>
      <c r="BI305" s="381"/>
      <c r="BJ305" s="379">
        <v>0</v>
      </c>
      <c r="BK305" s="380"/>
      <c r="BL305" s="373"/>
      <c r="BM305" s="374"/>
      <c r="BN305" s="381"/>
      <c r="BO305" s="379">
        <v>0</v>
      </c>
      <c r="BP305" s="380"/>
      <c r="BQ305" s="373"/>
      <c r="BR305" s="374"/>
      <c r="BS305" s="381"/>
      <c r="BT305" s="379">
        <f>SUM(L305:BO305)</f>
        <v>0</v>
      </c>
      <c r="BU305" s="380"/>
      <c r="BV305" s="373"/>
      <c r="BW305" s="9"/>
      <c r="BZ305" s="10"/>
      <c r="CA305" s="10"/>
    </row>
    <row r="306" spans="4:79" ht="12.75" hidden="1" customHeight="1" x14ac:dyDescent="0.2">
      <c r="D306" s="9"/>
      <c r="G306" s="373"/>
      <c r="H306" s="373"/>
      <c r="I306" s="373"/>
      <c r="J306" s="374"/>
      <c r="K306" s="373"/>
      <c r="L306" s="373"/>
      <c r="M306" s="373"/>
      <c r="N306" s="373"/>
      <c r="O306" s="374"/>
      <c r="P306" s="373"/>
      <c r="Q306" s="373"/>
      <c r="R306" s="373"/>
      <c r="S306" s="373"/>
      <c r="T306" s="374"/>
      <c r="U306" s="373"/>
      <c r="V306" s="373"/>
      <c r="W306" s="373"/>
      <c r="X306" s="373"/>
      <c r="Y306" s="374"/>
      <c r="Z306" s="373"/>
      <c r="AA306" s="373"/>
      <c r="AB306" s="373"/>
      <c r="AC306" s="373"/>
      <c r="AD306" s="374"/>
      <c r="AE306" s="373"/>
      <c r="AF306" s="373"/>
      <c r="AG306" s="373"/>
      <c r="AH306" s="373"/>
      <c r="AI306" s="374"/>
      <c r="AJ306" s="373"/>
      <c r="AK306" s="373"/>
      <c r="AL306" s="373"/>
      <c r="AM306" s="373"/>
      <c r="AN306" s="374"/>
      <c r="AO306" s="373"/>
      <c r="AP306" s="373"/>
      <c r="AQ306" s="373"/>
      <c r="AR306" s="373"/>
      <c r="AS306" s="374"/>
      <c r="AT306" s="373"/>
      <c r="AU306" s="373"/>
      <c r="AV306" s="373"/>
      <c r="AW306" s="373"/>
      <c r="AX306" s="374"/>
      <c r="AY306" s="373"/>
      <c r="AZ306" s="373"/>
      <c r="BA306" s="373"/>
      <c r="BB306" s="373"/>
      <c r="BC306" s="374"/>
      <c r="BD306" s="373"/>
      <c r="BE306" s="373"/>
      <c r="BF306" s="373"/>
      <c r="BG306" s="373"/>
      <c r="BH306" s="374"/>
      <c r="BI306" s="373"/>
      <c r="BJ306" s="373"/>
      <c r="BK306" s="373"/>
      <c r="BL306" s="373"/>
      <c r="BM306" s="374"/>
      <c r="BN306" s="373"/>
      <c r="BO306" s="373"/>
      <c r="BP306" s="373"/>
      <c r="BQ306" s="373"/>
      <c r="BR306" s="374"/>
      <c r="BS306" s="373"/>
      <c r="BT306" s="373"/>
      <c r="BU306" s="373"/>
      <c r="BV306" s="373"/>
      <c r="BW306" s="9"/>
      <c r="BZ306" s="10"/>
      <c r="CA306" s="10"/>
    </row>
    <row r="307" spans="4:79" s="10" customFormat="1" ht="12.75" hidden="1" customHeight="1" x14ac:dyDescent="0.2">
      <c r="D307" s="142" t="s">
        <v>337</v>
      </c>
      <c r="E307" s="402"/>
      <c r="F307" s="143"/>
      <c r="G307" s="373">
        <f>SUM(G308)</f>
        <v>0</v>
      </c>
      <c r="H307" s="373"/>
      <c r="I307" s="373"/>
      <c r="J307" s="374"/>
      <c r="K307" s="373"/>
      <c r="L307" s="373">
        <f>SUM(L308:L308)</f>
        <v>0</v>
      </c>
      <c r="M307" s="373"/>
      <c r="N307" s="373"/>
      <c r="O307" s="374"/>
      <c r="P307" s="373"/>
      <c r="Q307" s="373">
        <f>SUM(Q308:Q308)</f>
        <v>0</v>
      </c>
      <c r="R307" s="373"/>
      <c r="S307" s="373"/>
      <c r="T307" s="374"/>
      <c r="U307" s="373"/>
      <c r="V307" s="373">
        <f>SUM(V308:V308)</f>
        <v>0</v>
      </c>
      <c r="W307" s="373"/>
      <c r="X307" s="373"/>
      <c r="Y307" s="374"/>
      <c r="Z307" s="373"/>
      <c r="AA307" s="373">
        <f>SUM(AA308:AA308)</f>
        <v>0</v>
      </c>
      <c r="AB307" s="373"/>
      <c r="AC307" s="373"/>
      <c r="AD307" s="374"/>
      <c r="AE307" s="373"/>
      <c r="AF307" s="373">
        <f>SUM(AF308:AF308)</f>
        <v>0</v>
      </c>
      <c r="AG307" s="373"/>
      <c r="AH307" s="373"/>
      <c r="AI307" s="374"/>
      <c r="AJ307" s="373"/>
      <c r="AK307" s="373">
        <f>SUM(AK308:AK308)</f>
        <v>0</v>
      </c>
      <c r="AL307" s="373"/>
      <c r="AM307" s="373"/>
      <c r="AN307" s="374"/>
      <c r="AO307" s="373"/>
      <c r="AP307" s="373">
        <f>SUM(AP308:AP308)</f>
        <v>0</v>
      </c>
      <c r="AQ307" s="373"/>
      <c r="AR307" s="373"/>
      <c r="AS307" s="374"/>
      <c r="AT307" s="373"/>
      <c r="AU307" s="373">
        <f>SUM(AU308:AU308)</f>
        <v>0</v>
      </c>
      <c r="AV307" s="373"/>
      <c r="AW307" s="373"/>
      <c r="AX307" s="374"/>
      <c r="AY307" s="373"/>
      <c r="AZ307" s="373">
        <f>SUM(AZ308:AZ308)</f>
        <v>0</v>
      </c>
      <c r="BA307" s="373"/>
      <c r="BB307" s="373"/>
      <c r="BC307" s="374"/>
      <c r="BD307" s="373"/>
      <c r="BE307" s="373">
        <f>SUM(BE308:BE308)</f>
        <v>0</v>
      </c>
      <c r="BF307" s="373"/>
      <c r="BG307" s="373"/>
      <c r="BH307" s="374"/>
      <c r="BI307" s="373"/>
      <c r="BJ307" s="373">
        <f>SUM(BJ308:BJ308)</f>
        <v>0</v>
      </c>
      <c r="BK307" s="373"/>
      <c r="BL307" s="373"/>
      <c r="BM307" s="374"/>
      <c r="BN307" s="373"/>
      <c r="BO307" s="373">
        <f>SUM(BO308:BO308)</f>
        <v>0</v>
      </c>
      <c r="BP307" s="373"/>
      <c r="BQ307" s="373"/>
      <c r="BR307" s="374"/>
      <c r="BS307" s="373"/>
      <c r="BT307" s="373">
        <f>SUM(BT308:BT308)</f>
        <v>0</v>
      </c>
      <c r="BU307" s="373"/>
      <c r="BV307" s="373"/>
      <c r="BW307" s="79"/>
      <c r="BY307" s="1"/>
    </row>
    <row r="308" spans="4:79" ht="12.75" hidden="1" customHeight="1" x14ac:dyDescent="0.2">
      <c r="D308" s="9" t="s">
        <v>343</v>
      </c>
      <c r="E308" s="397"/>
      <c r="F308" s="403"/>
      <c r="G308" s="379">
        <v>0</v>
      </c>
      <c r="H308" s="380"/>
      <c r="I308" s="373"/>
      <c r="J308" s="374"/>
      <c r="K308" s="381"/>
      <c r="L308" s="379">
        <f>L312</f>
        <v>0</v>
      </c>
      <c r="M308" s="380"/>
      <c r="N308" s="373"/>
      <c r="O308" s="374"/>
      <c r="P308" s="381"/>
      <c r="Q308" s="379">
        <f>Q312</f>
        <v>0</v>
      </c>
      <c r="R308" s="380"/>
      <c r="S308" s="373"/>
      <c r="T308" s="374"/>
      <c r="U308" s="381"/>
      <c r="V308" s="379">
        <f>V312</f>
        <v>0</v>
      </c>
      <c r="W308" s="380"/>
      <c r="X308" s="373"/>
      <c r="Y308" s="374"/>
      <c r="Z308" s="381"/>
      <c r="AA308" s="379">
        <f>AA312</f>
        <v>0</v>
      </c>
      <c r="AB308" s="380"/>
      <c r="AC308" s="373"/>
      <c r="AD308" s="374"/>
      <c r="AE308" s="381"/>
      <c r="AF308" s="379">
        <v>0</v>
      </c>
      <c r="AG308" s="380"/>
      <c r="AH308" s="373"/>
      <c r="AI308" s="374"/>
      <c r="AJ308" s="381"/>
      <c r="AK308" s="379">
        <f>AK312</f>
        <v>0</v>
      </c>
      <c r="AL308" s="380"/>
      <c r="AM308" s="373"/>
      <c r="AN308" s="374"/>
      <c r="AO308" s="381"/>
      <c r="AP308" s="379">
        <f>AP312</f>
        <v>0</v>
      </c>
      <c r="AQ308" s="380"/>
      <c r="AR308" s="373"/>
      <c r="AS308" s="374"/>
      <c r="AT308" s="381"/>
      <c r="AU308" s="379">
        <f>AU312</f>
        <v>0</v>
      </c>
      <c r="AV308" s="380"/>
      <c r="AW308" s="373"/>
      <c r="AX308" s="374"/>
      <c r="AY308" s="381"/>
      <c r="AZ308" s="379">
        <f>AZ312</f>
        <v>0</v>
      </c>
      <c r="BA308" s="380"/>
      <c r="BB308" s="373"/>
      <c r="BC308" s="374"/>
      <c r="BD308" s="381"/>
      <c r="BE308" s="379">
        <f>BE312</f>
        <v>0</v>
      </c>
      <c r="BF308" s="380"/>
      <c r="BG308" s="373"/>
      <c r="BH308" s="374"/>
      <c r="BI308" s="381"/>
      <c r="BJ308" s="379">
        <f>BJ312</f>
        <v>0</v>
      </c>
      <c r="BK308" s="380"/>
      <c r="BL308" s="373"/>
      <c r="BM308" s="374"/>
      <c r="BN308" s="381"/>
      <c r="BO308" s="379">
        <f>BO312</f>
        <v>0</v>
      </c>
      <c r="BP308" s="380"/>
      <c r="BQ308" s="373"/>
      <c r="BR308" s="374"/>
      <c r="BS308" s="381"/>
      <c r="BT308" s="379">
        <f>SUM(L308:BO308)</f>
        <v>0</v>
      </c>
      <c r="BU308" s="380"/>
      <c r="BV308" s="373"/>
      <c r="BW308" s="9"/>
      <c r="BZ308" s="10"/>
      <c r="CA308" s="10"/>
    </row>
    <row r="309" spans="4:79" ht="12.75" hidden="1" customHeight="1" x14ac:dyDescent="0.2">
      <c r="D309" s="9"/>
      <c r="G309" s="373"/>
      <c r="H309" s="373"/>
      <c r="I309" s="373"/>
      <c r="J309" s="374"/>
      <c r="K309" s="373"/>
      <c r="O309" s="156"/>
      <c r="T309" s="156"/>
      <c r="Y309" s="156"/>
      <c r="AD309" s="156"/>
      <c r="AI309" s="156"/>
      <c r="AN309" s="156"/>
      <c r="AS309" s="156"/>
      <c r="AX309" s="156"/>
      <c r="BC309" s="156"/>
      <c r="BH309" s="156"/>
      <c r="BM309" s="156"/>
      <c r="BR309" s="156"/>
      <c r="BW309" s="9"/>
      <c r="BZ309" s="10"/>
      <c r="CA309" s="10"/>
    </row>
    <row r="310" spans="4:79" ht="12.75" hidden="1" customHeight="1" x14ac:dyDescent="0.2">
      <c r="D310" s="9"/>
      <c r="G310" s="373"/>
      <c r="H310" s="373"/>
      <c r="I310" s="373"/>
      <c r="J310" s="374"/>
      <c r="K310" s="373"/>
      <c r="L310" s="373"/>
      <c r="M310" s="373"/>
      <c r="N310" s="373"/>
      <c r="O310" s="374"/>
      <c r="P310" s="373"/>
      <c r="Q310" s="373"/>
      <c r="R310" s="373"/>
      <c r="S310" s="373"/>
      <c r="T310" s="374"/>
      <c r="U310" s="373"/>
      <c r="V310" s="373"/>
      <c r="W310" s="373"/>
      <c r="X310" s="373"/>
      <c r="Y310" s="374"/>
      <c r="Z310" s="373"/>
      <c r="AA310" s="373"/>
      <c r="AB310" s="373"/>
      <c r="AC310" s="373"/>
      <c r="AD310" s="374"/>
      <c r="AE310" s="373"/>
      <c r="AF310" s="373"/>
      <c r="AG310" s="373"/>
      <c r="AH310" s="373"/>
      <c r="AI310" s="374"/>
      <c r="AJ310" s="373"/>
      <c r="AK310" s="373"/>
      <c r="AL310" s="373"/>
      <c r="AM310" s="373"/>
      <c r="AN310" s="374"/>
      <c r="AO310" s="373"/>
      <c r="AP310" s="373"/>
      <c r="AQ310" s="373"/>
      <c r="AR310" s="373"/>
      <c r="AS310" s="374"/>
      <c r="AT310" s="373"/>
      <c r="AU310" s="373"/>
      <c r="AV310" s="373"/>
      <c r="AW310" s="373"/>
      <c r="AX310" s="374"/>
      <c r="AY310" s="373"/>
      <c r="AZ310" s="373"/>
      <c r="BA310" s="373"/>
      <c r="BB310" s="373"/>
      <c r="BC310" s="374"/>
      <c r="BD310" s="373"/>
      <c r="BE310" s="373"/>
      <c r="BF310" s="373"/>
      <c r="BG310" s="373"/>
      <c r="BH310" s="374"/>
      <c r="BI310" s="373"/>
      <c r="BJ310" s="373"/>
      <c r="BK310" s="373"/>
      <c r="BL310" s="373"/>
      <c r="BM310" s="374"/>
      <c r="BN310" s="373"/>
      <c r="BO310" s="373"/>
      <c r="BP310" s="373"/>
      <c r="BQ310" s="373"/>
      <c r="BR310" s="374"/>
      <c r="BS310" s="373"/>
      <c r="BT310" s="373"/>
      <c r="BU310" s="373"/>
      <c r="BV310" s="373"/>
      <c r="BW310" s="9"/>
      <c r="BZ310" s="10"/>
      <c r="CA310" s="10"/>
    </row>
    <row r="311" spans="4:79" ht="12.75" hidden="1" customHeight="1" x14ac:dyDescent="0.2">
      <c r="D311" s="9" t="str">
        <f>[54]domredemp!D86</f>
        <v xml:space="preserve">  I2029 (1.875%  2029/03/31)</v>
      </c>
      <c r="G311" s="373">
        <v>0</v>
      </c>
      <c r="H311" s="373"/>
      <c r="I311" s="373"/>
      <c r="J311" s="374"/>
      <c r="K311" s="373"/>
      <c r="L311" s="373">
        <f>SUM(L312:L312)</f>
        <v>0</v>
      </c>
      <c r="M311" s="373"/>
      <c r="N311" s="373"/>
      <c r="O311" s="374"/>
      <c r="P311" s="373"/>
      <c r="Q311" s="373">
        <f>SUM(Q312:Q312)</f>
        <v>0</v>
      </c>
      <c r="R311" s="373"/>
      <c r="S311" s="373"/>
      <c r="T311" s="374"/>
      <c r="U311" s="373"/>
      <c r="V311" s="373">
        <f>SUM(V312:V312)</f>
        <v>0</v>
      </c>
      <c r="W311" s="373"/>
      <c r="X311" s="373"/>
      <c r="Y311" s="374"/>
      <c r="Z311" s="373"/>
      <c r="AA311" s="373">
        <f>SUM(AA312:AA312)</f>
        <v>0</v>
      </c>
      <c r="AB311" s="373"/>
      <c r="AC311" s="373"/>
      <c r="AD311" s="374"/>
      <c r="AE311" s="373"/>
      <c r="AF311" s="373">
        <f>SUM(AF312:AF312)</f>
        <v>0</v>
      </c>
      <c r="AG311" s="373"/>
      <c r="AH311" s="373"/>
      <c r="AI311" s="374"/>
      <c r="AJ311" s="373"/>
      <c r="AK311" s="373">
        <f>SUM(AK312:AK312)</f>
        <v>0</v>
      </c>
      <c r="AL311" s="373"/>
      <c r="AM311" s="373"/>
      <c r="AN311" s="374"/>
      <c r="AO311" s="373"/>
      <c r="AP311" s="373">
        <f>SUM(AP312:AP312)</f>
        <v>0</v>
      </c>
      <c r="AQ311" s="373"/>
      <c r="AR311" s="373"/>
      <c r="AS311" s="374"/>
      <c r="AT311" s="373"/>
      <c r="AU311" s="373">
        <f>SUM(AU312:AU312)</f>
        <v>0</v>
      </c>
      <c r="AV311" s="373"/>
      <c r="AW311" s="373"/>
      <c r="AX311" s="374"/>
      <c r="AY311" s="373"/>
      <c r="AZ311" s="373">
        <f>SUM(AZ312:AZ312)</f>
        <v>0</v>
      </c>
      <c r="BA311" s="373"/>
      <c r="BB311" s="373"/>
      <c r="BC311" s="374"/>
      <c r="BD311" s="373"/>
      <c r="BE311" s="373">
        <f>SUM(BE312:BE312)</f>
        <v>0</v>
      </c>
      <c r="BF311" s="373"/>
      <c r="BG311" s="373"/>
      <c r="BH311" s="374"/>
      <c r="BI311" s="373"/>
      <c r="BJ311" s="373">
        <f>SUM(BJ312:BJ312)</f>
        <v>0</v>
      </c>
      <c r="BK311" s="373"/>
      <c r="BL311" s="373"/>
      <c r="BM311" s="374"/>
      <c r="BN311" s="373"/>
      <c r="BO311" s="373">
        <f>SUM(BO312:BO312)</f>
        <v>0</v>
      </c>
      <c r="BP311" s="373"/>
      <c r="BQ311" s="373"/>
      <c r="BR311" s="374"/>
      <c r="BS311" s="373"/>
      <c r="BT311" s="373">
        <f>SUM(BT312:BT312)</f>
        <v>0</v>
      </c>
      <c r="BU311" s="373"/>
      <c r="BV311" s="373"/>
      <c r="BW311" s="9"/>
      <c r="BZ311" s="10"/>
      <c r="CA311" s="10"/>
    </row>
    <row r="312" spans="4:79" ht="12.75" hidden="1" customHeight="1" x14ac:dyDescent="0.2">
      <c r="D312" s="9" t="s">
        <v>343</v>
      </c>
      <c r="F312" s="378"/>
      <c r="G312" s="379">
        <v>0</v>
      </c>
      <c r="H312" s="380"/>
      <c r="I312" s="373"/>
      <c r="J312" s="374"/>
      <c r="K312" s="381"/>
      <c r="L312" s="379">
        <v>0</v>
      </c>
      <c r="M312" s="380"/>
      <c r="N312" s="373"/>
      <c r="O312" s="374"/>
      <c r="P312" s="381"/>
      <c r="Q312" s="379">
        <v>0</v>
      </c>
      <c r="R312" s="380"/>
      <c r="S312" s="373"/>
      <c r="T312" s="374"/>
      <c r="U312" s="381"/>
      <c r="V312" s="379">
        <v>0</v>
      </c>
      <c r="W312" s="380"/>
      <c r="X312" s="373"/>
      <c r="Y312" s="374"/>
      <c r="Z312" s="381"/>
      <c r="AA312" s="379">
        <v>0</v>
      </c>
      <c r="AB312" s="380"/>
      <c r="AC312" s="373"/>
      <c r="AD312" s="374"/>
      <c r="AE312" s="381"/>
      <c r="AF312" s="379">
        <v>0</v>
      </c>
      <c r="AG312" s="380"/>
      <c r="AH312" s="373"/>
      <c r="AI312" s="374"/>
      <c r="AJ312" s="381"/>
      <c r="AK312" s="379">
        <v>0</v>
      </c>
      <c r="AL312" s="380"/>
      <c r="AM312" s="373"/>
      <c r="AN312" s="374"/>
      <c r="AO312" s="381"/>
      <c r="AP312" s="379">
        <v>0</v>
      </c>
      <c r="AQ312" s="380"/>
      <c r="AR312" s="373"/>
      <c r="AS312" s="374"/>
      <c r="AT312" s="381"/>
      <c r="AU312" s="379">
        <v>0</v>
      </c>
      <c r="AV312" s="380"/>
      <c r="AW312" s="373"/>
      <c r="AX312" s="374"/>
      <c r="AY312" s="381"/>
      <c r="AZ312" s="379">
        <v>0</v>
      </c>
      <c r="BA312" s="380"/>
      <c r="BB312" s="373"/>
      <c r="BC312" s="374"/>
      <c r="BD312" s="381"/>
      <c r="BE312" s="379">
        <v>0</v>
      </c>
      <c r="BF312" s="380"/>
      <c r="BG312" s="373"/>
      <c r="BH312" s="374"/>
      <c r="BI312" s="381"/>
      <c r="BJ312" s="379">
        <v>0</v>
      </c>
      <c r="BK312" s="380"/>
      <c r="BL312" s="373"/>
      <c r="BM312" s="374"/>
      <c r="BN312" s="381"/>
      <c r="BO312" s="379">
        <v>0</v>
      </c>
      <c r="BP312" s="380"/>
      <c r="BQ312" s="373"/>
      <c r="BR312" s="374"/>
      <c r="BS312" s="381"/>
      <c r="BT312" s="379">
        <f>SUM(L312:BO312)</f>
        <v>0</v>
      </c>
      <c r="BU312" s="380"/>
      <c r="BV312" s="373"/>
      <c r="BW312" s="9"/>
      <c r="BZ312" s="10"/>
      <c r="CA312" s="10"/>
    </row>
    <row r="313" spans="4:79" ht="12.75" hidden="1" customHeight="1" x14ac:dyDescent="0.2">
      <c r="D313" s="9"/>
      <c r="G313" s="373"/>
      <c r="H313" s="373"/>
      <c r="I313" s="373"/>
      <c r="J313" s="374"/>
      <c r="K313" s="373"/>
      <c r="L313" s="373"/>
      <c r="M313" s="373"/>
      <c r="N313" s="373"/>
      <c r="O313" s="374"/>
      <c r="P313" s="373"/>
      <c r="Q313" s="373"/>
      <c r="R313" s="373"/>
      <c r="S313" s="373"/>
      <c r="T313" s="374"/>
      <c r="U313" s="373"/>
      <c r="V313" s="373"/>
      <c r="W313" s="373"/>
      <c r="X313" s="373"/>
      <c r="Y313" s="374"/>
      <c r="Z313" s="373"/>
      <c r="AA313" s="373"/>
      <c r="AB313" s="373"/>
      <c r="AC313" s="373"/>
      <c r="AD313" s="374"/>
      <c r="AE313" s="373"/>
      <c r="AF313" s="373"/>
      <c r="AG313" s="373"/>
      <c r="AH313" s="373"/>
      <c r="AI313" s="374"/>
      <c r="AJ313" s="373"/>
      <c r="AK313" s="373"/>
      <c r="AL313" s="373"/>
      <c r="AM313" s="373"/>
      <c r="AN313" s="374"/>
      <c r="AO313" s="373"/>
      <c r="AP313" s="373"/>
      <c r="AQ313" s="373"/>
      <c r="AR313" s="373"/>
      <c r="AS313" s="374"/>
      <c r="AT313" s="373"/>
      <c r="AU313" s="373"/>
      <c r="AV313" s="373"/>
      <c r="AW313" s="373"/>
      <c r="AX313" s="374"/>
      <c r="AY313" s="373"/>
      <c r="AZ313" s="373"/>
      <c r="BA313" s="373"/>
      <c r="BB313" s="373"/>
      <c r="BC313" s="374"/>
      <c r="BD313" s="373"/>
      <c r="BE313" s="373"/>
      <c r="BF313" s="373"/>
      <c r="BG313" s="373"/>
      <c r="BH313" s="374"/>
      <c r="BI313" s="373"/>
      <c r="BJ313" s="373"/>
      <c r="BK313" s="373"/>
      <c r="BL313" s="373"/>
      <c r="BM313" s="374"/>
      <c r="BN313" s="373"/>
      <c r="BO313" s="373"/>
      <c r="BP313" s="373"/>
      <c r="BQ313" s="373"/>
      <c r="BR313" s="374"/>
      <c r="BS313" s="373"/>
      <c r="BT313" s="373"/>
      <c r="BU313" s="373"/>
      <c r="BV313" s="373"/>
      <c r="BW313" s="9"/>
      <c r="BZ313" s="10"/>
      <c r="CA313" s="10"/>
    </row>
    <row r="314" spans="4:79" ht="12.75" customHeight="1" x14ac:dyDescent="0.2">
      <c r="D314" s="9"/>
      <c r="G314" s="373"/>
      <c r="H314" s="373"/>
      <c r="I314" s="373"/>
      <c r="J314" s="374"/>
      <c r="K314" s="373"/>
      <c r="L314" s="373"/>
      <c r="M314" s="373"/>
      <c r="N314" s="373"/>
      <c r="O314" s="374"/>
      <c r="P314" s="373"/>
      <c r="Q314" s="373"/>
      <c r="R314" s="373"/>
      <c r="S314" s="373"/>
      <c r="T314" s="374"/>
      <c r="U314" s="373"/>
      <c r="V314" s="373"/>
      <c r="W314" s="373"/>
      <c r="X314" s="373"/>
      <c r="Y314" s="374"/>
      <c r="Z314" s="373"/>
      <c r="AA314" s="373"/>
      <c r="AB314" s="373"/>
      <c r="AC314" s="373"/>
      <c r="AD314" s="374"/>
      <c r="AE314" s="373"/>
      <c r="AF314" s="373"/>
      <c r="AG314" s="373"/>
      <c r="AH314" s="373"/>
      <c r="AI314" s="374"/>
      <c r="AJ314" s="373"/>
      <c r="AK314" s="373"/>
      <c r="AL314" s="373"/>
      <c r="AM314" s="373"/>
      <c r="AN314" s="374"/>
      <c r="AO314" s="373"/>
      <c r="AP314" s="373"/>
      <c r="AQ314" s="373"/>
      <c r="AR314" s="373"/>
      <c r="AS314" s="374"/>
      <c r="AT314" s="373"/>
      <c r="AU314" s="373"/>
      <c r="AV314" s="373"/>
      <c r="AW314" s="373"/>
      <c r="AX314" s="374"/>
      <c r="AY314" s="373"/>
      <c r="AZ314" s="373"/>
      <c r="BA314" s="373"/>
      <c r="BB314" s="373"/>
      <c r="BC314" s="374"/>
      <c r="BD314" s="373"/>
      <c r="BE314" s="373"/>
      <c r="BF314" s="373"/>
      <c r="BG314" s="373"/>
      <c r="BH314" s="374"/>
      <c r="BI314" s="373"/>
      <c r="BJ314" s="373"/>
      <c r="BK314" s="373"/>
      <c r="BL314" s="373"/>
      <c r="BM314" s="374"/>
      <c r="BN314" s="373"/>
      <c r="BO314" s="373"/>
      <c r="BP314" s="373"/>
      <c r="BQ314" s="373"/>
      <c r="BR314" s="374"/>
      <c r="BS314" s="373"/>
      <c r="BT314" s="373"/>
      <c r="BU314" s="373"/>
      <c r="BV314" s="373"/>
      <c r="BW314" s="9"/>
      <c r="BZ314" s="10"/>
      <c r="CA314" s="10"/>
    </row>
    <row r="315" spans="4:79" ht="12.75" customHeight="1" x14ac:dyDescent="0.2">
      <c r="D315" s="9" t="s">
        <v>407</v>
      </c>
      <c r="G315" s="373">
        <v>0</v>
      </c>
      <c r="H315" s="373"/>
      <c r="I315" s="373"/>
      <c r="J315" s="374"/>
      <c r="K315" s="373"/>
      <c r="L315" s="373">
        <f>SUM(L316:L316)</f>
        <v>0</v>
      </c>
      <c r="M315" s="373"/>
      <c r="N315" s="373"/>
      <c r="O315" s="374"/>
      <c r="P315" s="373"/>
      <c r="Q315" s="373">
        <f>SUM(Q316:Q316)</f>
        <v>0</v>
      </c>
      <c r="R315" s="373"/>
      <c r="S315" s="373"/>
      <c r="T315" s="374"/>
      <c r="U315" s="373"/>
      <c r="V315" s="373">
        <f>SUM(V316:V316)</f>
        <v>0</v>
      </c>
      <c r="W315" s="373"/>
      <c r="X315" s="373"/>
      <c r="Y315" s="374"/>
      <c r="Z315" s="373">
        <f t="shared" ref="Z315:BQ315" si="2">SUM(Z316:Z316)</f>
        <v>0</v>
      </c>
      <c r="AA315" s="373">
        <f>SUM(AA316:AA316)</f>
        <v>0</v>
      </c>
      <c r="AB315" s="373">
        <f t="shared" si="2"/>
        <v>0</v>
      </c>
      <c r="AC315" s="373">
        <f t="shared" si="2"/>
        <v>0</v>
      </c>
      <c r="AD315" s="374">
        <f t="shared" si="2"/>
        <v>0</v>
      </c>
      <c r="AE315" s="373">
        <f t="shared" si="2"/>
        <v>0</v>
      </c>
      <c r="AF315" s="373">
        <f>SUM(AF316:AF316)</f>
        <v>41191</v>
      </c>
      <c r="AG315" s="373">
        <f t="shared" si="2"/>
        <v>0</v>
      </c>
      <c r="AH315" s="373">
        <f t="shared" si="2"/>
        <v>0</v>
      </c>
      <c r="AI315" s="374">
        <f t="shared" si="2"/>
        <v>0</v>
      </c>
      <c r="AJ315" s="373">
        <f t="shared" si="2"/>
        <v>0</v>
      </c>
      <c r="AK315" s="373">
        <f>SUM(AK316:AK316)</f>
        <v>0</v>
      </c>
      <c r="AL315" s="373">
        <f t="shared" si="2"/>
        <v>0</v>
      </c>
      <c r="AM315" s="373">
        <f t="shared" si="2"/>
        <v>0</v>
      </c>
      <c r="AN315" s="374">
        <f t="shared" si="2"/>
        <v>0</v>
      </c>
      <c r="AO315" s="373">
        <f t="shared" si="2"/>
        <v>0</v>
      </c>
      <c r="AP315" s="373">
        <f>SUM(AP316:AP316)</f>
        <v>0</v>
      </c>
      <c r="AQ315" s="373">
        <f t="shared" si="2"/>
        <v>0</v>
      </c>
      <c r="AR315" s="373">
        <f t="shared" si="2"/>
        <v>0</v>
      </c>
      <c r="AS315" s="374">
        <f t="shared" si="2"/>
        <v>0</v>
      </c>
      <c r="AT315" s="373">
        <f t="shared" si="2"/>
        <v>0</v>
      </c>
      <c r="AU315" s="373">
        <f>SUM(AU316:AU316)</f>
        <v>0</v>
      </c>
      <c r="AV315" s="373">
        <f t="shared" si="2"/>
        <v>0</v>
      </c>
      <c r="AW315" s="373">
        <f t="shared" si="2"/>
        <v>0</v>
      </c>
      <c r="AX315" s="374">
        <f t="shared" si="2"/>
        <v>0</v>
      </c>
      <c r="AY315" s="373">
        <f t="shared" si="2"/>
        <v>0</v>
      </c>
      <c r="AZ315" s="373">
        <f>SUM(AZ316:AZ316)</f>
        <v>0</v>
      </c>
      <c r="BA315" s="373">
        <f t="shared" si="2"/>
        <v>0</v>
      </c>
      <c r="BB315" s="373">
        <f t="shared" si="2"/>
        <v>0</v>
      </c>
      <c r="BC315" s="374">
        <f t="shared" si="2"/>
        <v>0</v>
      </c>
      <c r="BD315" s="373">
        <f t="shared" si="2"/>
        <v>0</v>
      </c>
      <c r="BE315" s="373">
        <f>SUM(BE316:BE316)</f>
        <v>0</v>
      </c>
      <c r="BF315" s="373">
        <f t="shared" si="2"/>
        <v>0</v>
      </c>
      <c r="BG315" s="373">
        <f t="shared" si="2"/>
        <v>0</v>
      </c>
      <c r="BH315" s="374">
        <f t="shared" si="2"/>
        <v>0</v>
      </c>
      <c r="BI315" s="373">
        <f t="shared" si="2"/>
        <v>0</v>
      </c>
      <c r="BJ315" s="373">
        <f>SUM(BJ316:BJ316)</f>
        <v>0</v>
      </c>
      <c r="BK315" s="373">
        <f t="shared" si="2"/>
        <v>0</v>
      </c>
      <c r="BL315" s="373">
        <f t="shared" si="2"/>
        <v>0</v>
      </c>
      <c r="BM315" s="374">
        <f t="shared" si="2"/>
        <v>0</v>
      </c>
      <c r="BN315" s="373">
        <f t="shared" si="2"/>
        <v>0</v>
      </c>
      <c r="BO315" s="373">
        <f>SUM(BO316:BO316)</f>
        <v>0</v>
      </c>
      <c r="BP315" s="373">
        <f t="shared" si="2"/>
        <v>0</v>
      </c>
      <c r="BQ315" s="373">
        <f t="shared" si="2"/>
        <v>0</v>
      </c>
      <c r="BR315" s="374"/>
      <c r="BS315" s="373"/>
      <c r="BT315" s="373">
        <f>SUM(BT316:BT316)</f>
        <v>41191</v>
      </c>
      <c r="BU315" s="373"/>
      <c r="BV315" s="373"/>
      <c r="BW315" s="9"/>
      <c r="BZ315" s="10"/>
      <c r="CA315" s="10"/>
    </row>
    <row r="316" spans="4:79" ht="12.75" customHeight="1" x14ac:dyDescent="0.2">
      <c r="D316" s="9" t="s">
        <v>343</v>
      </c>
      <c r="F316" s="378"/>
      <c r="G316" s="379">
        <v>0</v>
      </c>
      <c r="H316" s="380"/>
      <c r="I316" s="373"/>
      <c r="J316" s="374"/>
      <c r="K316" s="381"/>
      <c r="L316" s="379">
        <v>0</v>
      </c>
      <c r="M316" s="380"/>
      <c r="N316" s="373"/>
      <c r="O316" s="374"/>
      <c r="P316" s="381"/>
      <c r="Q316" s="379">
        <v>0</v>
      </c>
      <c r="R316" s="380"/>
      <c r="S316" s="373"/>
      <c r="T316" s="374"/>
      <c r="U316" s="381"/>
      <c r="V316" s="379">
        <v>0</v>
      </c>
      <c r="W316" s="380"/>
      <c r="X316" s="373"/>
      <c r="Y316" s="374"/>
      <c r="Z316" s="381"/>
      <c r="AA316" s="379">
        <v>0</v>
      </c>
      <c r="AB316" s="380"/>
      <c r="AC316" s="373"/>
      <c r="AD316" s="374"/>
      <c r="AE316" s="381"/>
      <c r="AF316" s="379">
        <v>41191</v>
      </c>
      <c r="AG316" s="380"/>
      <c r="AH316" s="373"/>
      <c r="AI316" s="374"/>
      <c r="AJ316" s="381"/>
      <c r="AK316" s="379">
        <v>0</v>
      </c>
      <c r="AL316" s="380"/>
      <c r="AM316" s="373"/>
      <c r="AN316" s="374"/>
      <c r="AO316" s="381"/>
      <c r="AP316" s="379">
        <v>0</v>
      </c>
      <c r="AQ316" s="380"/>
      <c r="AR316" s="373"/>
      <c r="AS316" s="374"/>
      <c r="AT316" s="381"/>
      <c r="AU316" s="379">
        <v>0</v>
      </c>
      <c r="AV316" s="380"/>
      <c r="AW316" s="373"/>
      <c r="AX316" s="374"/>
      <c r="AY316" s="381"/>
      <c r="AZ316" s="379">
        <v>0</v>
      </c>
      <c r="BA316" s="380"/>
      <c r="BB316" s="373"/>
      <c r="BC316" s="374"/>
      <c r="BD316" s="381"/>
      <c r="BE316" s="379">
        <v>0</v>
      </c>
      <c r="BF316" s="380"/>
      <c r="BG316" s="373"/>
      <c r="BH316" s="374"/>
      <c r="BI316" s="381"/>
      <c r="BJ316" s="379">
        <v>0</v>
      </c>
      <c r="BK316" s="380"/>
      <c r="BL316" s="373"/>
      <c r="BM316" s="374"/>
      <c r="BN316" s="381"/>
      <c r="BO316" s="379">
        <v>0</v>
      </c>
      <c r="BP316" s="380"/>
      <c r="BQ316" s="373"/>
      <c r="BR316" s="374"/>
      <c r="BS316" s="381"/>
      <c r="BT316" s="379">
        <f>SUM(L316:BO316)</f>
        <v>41191</v>
      </c>
      <c r="BU316" s="380"/>
      <c r="BV316" s="373"/>
      <c r="BW316" s="9"/>
      <c r="BZ316" s="10"/>
      <c r="CA316" s="10"/>
    </row>
    <row r="317" spans="4:79" ht="12.75" customHeight="1" x14ac:dyDescent="0.2">
      <c r="D317" s="9"/>
      <c r="G317" s="373"/>
      <c r="H317" s="373"/>
      <c r="I317" s="373"/>
      <c r="J317" s="374"/>
      <c r="K317" s="373"/>
      <c r="L317" s="373"/>
      <c r="M317" s="373"/>
      <c r="N317" s="373"/>
      <c r="O317" s="374"/>
      <c r="P317" s="373"/>
      <c r="Q317" s="373"/>
      <c r="R317" s="373"/>
      <c r="S317" s="373"/>
      <c r="T317" s="374"/>
      <c r="U317" s="373"/>
      <c r="V317" s="373"/>
      <c r="W317" s="373"/>
      <c r="X317" s="373"/>
      <c r="Y317" s="374"/>
      <c r="Z317" s="373"/>
      <c r="AA317" s="373"/>
      <c r="AB317" s="373"/>
      <c r="AC317" s="373"/>
      <c r="AD317" s="374"/>
      <c r="AE317" s="373"/>
      <c r="AF317" s="373"/>
      <c r="AG317" s="373"/>
      <c r="AH317" s="373"/>
      <c r="AI317" s="374"/>
      <c r="AJ317" s="373"/>
      <c r="AK317" s="373"/>
      <c r="AL317" s="373"/>
      <c r="AM317" s="373"/>
      <c r="AN317" s="374"/>
      <c r="AO317" s="373"/>
      <c r="AP317" s="373"/>
      <c r="AQ317" s="373"/>
      <c r="AR317" s="373"/>
      <c r="AS317" s="374"/>
      <c r="AT317" s="373"/>
      <c r="AU317" s="373"/>
      <c r="AV317" s="373"/>
      <c r="AW317" s="373"/>
      <c r="AX317" s="374"/>
      <c r="AY317" s="373"/>
      <c r="AZ317" s="373"/>
      <c r="BA317" s="373"/>
      <c r="BB317" s="373"/>
      <c r="BC317" s="374"/>
      <c r="BD317" s="373"/>
      <c r="BE317" s="373"/>
      <c r="BF317" s="373"/>
      <c r="BG317" s="373"/>
      <c r="BH317" s="374"/>
      <c r="BI317" s="373"/>
      <c r="BJ317" s="373"/>
      <c r="BK317" s="373"/>
      <c r="BL317" s="373"/>
      <c r="BM317" s="374"/>
      <c r="BN317" s="373"/>
      <c r="BO317" s="373"/>
      <c r="BP317" s="373"/>
      <c r="BQ317" s="373"/>
      <c r="BR317" s="374"/>
      <c r="BS317" s="373"/>
      <c r="BT317" s="373"/>
      <c r="BU317" s="373"/>
      <c r="BV317" s="373"/>
      <c r="BW317" s="9"/>
      <c r="BZ317" s="10"/>
      <c r="CA317" s="10"/>
    </row>
    <row r="318" spans="4:79" ht="12.75" customHeight="1" x14ac:dyDescent="0.2">
      <c r="D318" s="9" t="s">
        <v>352</v>
      </c>
      <c r="G318" s="373">
        <v>0</v>
      </c>
      <c r="H318" s="373"/>
      <c r="I318" s="373"/>
      <c r="J318" s="374"/>
      <c r="K318" s="373"/>
      <c r="L318" s="373">
        <f>SUM(L319:L319)</f>
        <v>0</v>
      </c>
      <c r="M318" s="373"/>
      <c r="N318" s="373"/>
      <c r="O318" s="374"/>
      <c r="P318" s="373"/>
      <c r="Q318" s="373">
        <f>SUM(Q319:Q319)</f>
        <v>0</v>
      </c>
      <c r="R318" s="373"/>
      <c r="S318" s="373"/>
      <c r="T318" s="374"/>
      <c r="U318" s="373"/>
      <c r="V318" s="373">
        <f>SUM(V319:V319)</f>
        <v>0</v>
      </c>
      <c r="W318" s="373"/>
      <c r="X318" s="373"/>
      <c r="Y318" s="374"/>
      <c r="Z318" s="373"/>
      <c r="AA318" s="373">
        <f>SUM(AA319:AA319)</f>
        <v>0</v>
      </c>
      <c r="AB318" s="373"/>
      <c r="AC318" s="373"/>
      <c r="AD318" s="374"/>
      <c r="AE318" s="373"/>
      <c r="AF318" s="373">
        <f>SUM(AF319:AF319)</f>
        <v>0</v>
      </c>
      <c r="AG318" s="373"/>
      <c r="AH318" s="373"/>
      <c r="AI318" s="374"/>
      <c r="AJ318" s="373"/>
      <c r="AK318" s="373">
        <f>SUM(AK319:AK319)</f>
        <v>0</v>
      </c>
      <c r="AL318" s="373"/>
      <c r="AM318" s="373"/>
      <c r="AN318" s="374"/>
      <c r="AO318" s="373"/>
      <c r="AP318" s="373">
        <f>SUM(AP319:AP319)</f>
        <v>0</v>
      </c>
      <c r="AQ318" s="373"/>
      <c r="AR318" s="373"/>
      <c r="AS318" s="374"/>
      <c r="AT318" s="373"/>
      <c r="AU318" s="373">
        <f>SUM(AU319:AU319)</f>
        <v>0</v>
      </c>
      <c r="AV318" s="373"/>
      <c r="AW318" s="373"/>
      <c r="AX318" s="374"/>
      <c r="AY318" s="373"/>
      <c r="AZ318" s="373">
        <f>SUM(AZ319:AZ319)</f>
        <v>0</v>
      </c>
      <c r="BA318" s="373"/>
      <c r="BB318" s="373"/>
      <c r="BC318" s="374"/>
      <c r="BD318" s="373"/>
      <c r="BE318" s="373">
        <f>SUM(BE319:BE319)</f>
        <v>0</v>
      </c>
      <c r="BF318" s="373"/>
      <c r="BG318" s="373"/>
      <c r="BH318" s="374"/>
      <c r="BI318" s="373"/>
      <c r="BJ318" s="373">
        <f>SUM(BJ319:BJ319)</f>
        <v>0</v>
      </c>
      <c r="BK318" s="373"/>
      <c r="BL318" s="373"/>
      <c r="BM318" s="374"/>
      <c r="BN318" s="373"/>
      <c r="BO318" s="373">
        <f>SUM(BO319:BO319)</f>
        <v>0</v>
      </c>
      <c r="BP318" s="373"/>
      <c r="BQ318" s="373"/>
      <c r="BR318" s="374"/>
      <c r="BS318" s="373"/>
      <c r="BT318" s="373">
        <f>SUM(BT319:BT319)</f>
        <v>0</v>
      </c>
      <c r="BU318" s="373"/>
      <c r="BV318" s="373"/>
      <c r="BW318" s="9"/>
      <c r="BZ318" s="10"/>
      <c r="CA318" s="10"/>
    </row>
    <row r="319" spans="4:79" ht="12.75" customHeight="1" x14ac:dyDescent="0.2">
      <c r="D319" s="9" t="s">
        <v>343</v>
      </c>
      <c r="F319" s="378"/>
      <c r="G319" s="379">
        <v>0</v>
      </c>
      <c r="H319" s="380"/>
      <c r="I319" s="373"/>
      <c r="J319" s="374"/>
      <c r="K319" s="381"/>
      <c r="L319" s="379">
        <v>0</v>
      </c>
      <c r="M319" s="380"/>
      <c r="N319" s="373"/>
      <c r="O319" s="374"/>
      <c r="P319" s="381"/>
      <c r="Q319" s="379">
        <v>0</v>
      </c>
      <c r="R319" s="380"/>
      <c r="S319" s="373"/>
      <c r="T319" s="374"/>
      <c r="U319" s="381"/>
      <c r="V319" s="379">
        <v>0</v>
      </c>
      <c r="W319" s="380"/>
      <c r="X319" s="373"/>
      <c r="Y319" s="374"/>
      <c r="Z319" s="381"/>
      <c r="AA319" s="379">
        <v>0</v>
      </c>
      <c r="AB319" s="380"/>
      <c r="AC319" s="373"/>
      <c r="AD319" s="374"/>
      <c r="AE319" s="381"/>
      <c r="AF319" s="379">
        <v>0</v>
      </c>
      <c r="AG319" s="380"/>
      <c r="AH319" s="373"/>
      <c r="AI319" s="374"/>
      <c r="AJ319" s="381"/>
      <c r="AK319" s="379">
        <v>0</v>
      </c>
      <c r="AL319" s="380"/>
      <c r="AM319" s="373"/>
      <c r="AN319" s="374"/>
      <c r="AO319" s="381"/>
      <c r="AP319" s="379">
        <v>0</v>
      </c>
      <c r="AQ319" s="380"/>
      <c r="AR319" s="373"/>
      <c r="AS319" s="374"/>
      <c r="AT319" s="381"/>
      <c r="AU319" s="379">
        <v>0</v>
      </c>
      <c r="AV319" s="380"/>
      <c r="AW319" s="373"/>
      <c r="AX319" s="374"/>
      <c r="AY319" s="381"/>
      <c r="AZ319" s="379">
        <v>0</v>
      </c>
      <c r="BA319" s="380"/>
      <c r="BB319" s="373"/>
      <c r="BC319" s="374"/>
      <c r="BD319" s="381"/>
      <c r="BE319" s="379">
        <v>0</v>
      </c>
      <c r="BF319" s="380"/>
      <c r="BG319" s="373"/>
      <c r="BH319" s="374"/>
      <c r="BI319" s="381"/>
      <c r="BJ319" s="379">
        <v>0</v>
      </c>
      <c r="BK319" s="380"/>
      <c r="BL319" s="373"/>
      <c r="BM319" s="374"/>
      <c r="BN319" s="381"/>
      <c r="BO319" s="379">
        <v>0</v>
      </c>
      <c r="BP319" s="380"/>
      <c r="BQ319" s="373"/>
      <c r="BR319" s="374"/>
      <c r="BS319" s="381"/>
      <c r="BT319" s="379">
        <f>SUM(L319:BO319)</f>
        <v>0</v>
      </c>
      <c r="BU319" s="380"/>
      <c r="BV319" s="373"/>
      <c r="BW319" s="9"/>
      <c r="BZ319" s="10"/>
      <c r="CA319" s="10"/>
    </row>
    <row r="320" spans="4:79" ht="12.75" customHeight="1" x14ac:dyDescent="0.2">
      <c r="D320" s="9"/>
      <c r="G320" s="373"/>
      <c r="H320" s="373"/>
      <c r="I320" s="373"/>
      <c r="J320" s="374"/>
      <c r="K320" s="373"/>
      <c r="L320" s="373"/>
      <c r="M320" s="373"/>
      <c r="N320" s="373"/>
      <c r="O320" s="374"/>
      <c r="P320" s="373"/>
      <c r="Q320" s="373"/>
      <c r="R320" s="373"/>
      <c r="S320" s="373"/>
      <c r="T320" s="374"/>
      <c r="U320" s="373"/>
      <c r="V320" s="373"/>
      <c r="W320" s="373"/>
      <c r="X320" s="373"/>
      <c r="Y320" s="374"/>
      <c r="Z320" s="373"/>
      <c r="AA320" s="373"/>
      <c r="AB320" s="373"/>
      <c r="AC320" s="373"/>
      <c r="AD320" s="374"/>
      <c r="AE320" s="373"/>
      <c r="AF320" s="373"/>
      <c r="AG320" s="373"/>
      <c r="AH320" s="373"/>
      <c r="AI320" s="374"/>
      <c r="AJ320" s="373"/>
      <c r="AK320" s="373"/>
      <c r="AL320" s="373"/>
      <c r="AM320" s="373"/>
      <c r="AN320" s="374"/>
      <c r="AO320" s="373"/>
      <c r="AP320" s="373"/>
      <c r="AQ320" s="373"/>
      <c r="AR320" s="373"/>
      <c r="AS320" s="374"/>
      <c r="AT320" s="373"/>
      <c r="AU320" s="373"/>
      <c r="AV320" s="373"/>
      <c r="AW320" s="373"/>
      <c r="AX320" s="374"/>
      <c r="AY320" s="373"/>
      <c r="AZ320" s="373"/>
      <c r="BA320" s="373"/>
      <c r="BB320" s="373"/>
      <c r="BC320" s="374"/>
      <c r="BD320" s="373"/>
      <c r="BE320" s="373"/>
      <c r="BF320" s="373"/>
      <c r="BG320" s="373"/>
      <c r="BH320" s="374"/>
      <c r="BI320" s="373"/>
      <c r="BJ320" s="373"/>
      <c r="BK320" s="373"/>
      <c r="BL320" s="373"/>
      <c r="BM320" s="374"/>
      <c r="BN320" s="373"/>
      <c r="BO320" s="373"/>
      <c r="BP320" s="373"/>
      <c r="BQ320" s="373"/>
      <c r="BR320" s="374"/>
      <c r="BS320" s="373"/>
      <c r="BT320" s="373"/>
      <c r="BU320" s="373"/>
      <c r="BV320" s="373"/>
      <c r="BW320" s="9"/>
      <c r="BZ320" s="10"/>
      <c r="CA320" s="10"/>
    </row>
    <row r="321" spans="4:79" ht="12.75" customHeight="1" x14ac:dyDescent="0.2">
      <c r="D321" s="9" t="s">
        <v>408</v>
      </c>
      <c r="G321" s="373">
        <v>0</v>
      </c>
      <c r="H321" s="373"/>
      <c r="I321" s="373"/>
      <c r="J321" s="374"/>
      <c r="K321" s="373"/>
      <c r="L321" s="373">
        <f>SUM(L322:L322)</f>
        <v>0</v>
      </c>
      <c r="M321" s="373"/>
      <c r="N321" s="373"/>
      <c r="O321" s="374"/>
      <c r="P321" s="373"/>
      <c r="Q321" s="373">
        <f>SUM(Q322:Q322)</f>
        <v>0</v>
      </c>
      <c r="R321" s="373"/>
      <c r="S321" s="373"/>
      <c r="T321" s="374"/>
      <c r="U321" s="373"/>
      <c r="V321" s="373">
        <f>SUM(V322:V322)</f>
        <v>0</v>
      </c>
      <c r="W321" s="373"/>
      <c r="X321" s="373"/>
      <c r="Y321" s="374"/>
      <c r="Z321" s="373"/>
      <c r="AA321" s="373">
        <f>SUM(AA322:AA322)</f>
        <v>0</v>
      </c>
      <c r="AB321" s="373"/>
      <c r="AC321" s="373"/>
      <c r="AD321" s="374"/>
      <c r="AE321" s="373"/>
      <c r="AF321" s="373">
        <f>SUM(AF322:AF322)</f>
        <v>0</v>
      </c>
      <c r="AG321" s="373"/>
      <c r="AH321" s="373"/>
      <c r="AI321" s="374"/>
      <c r="AJ321" s="373"/>
      <c r="AK321" s="373">
        <f>SUM(AK322:AK322)</f>
        <v>0</v>
      </c>
      <c r="AL321" s="373"/>
      <c r="AM321" s="373"/>
      <c r="AN321" s="374"/>
      <c r="AO321" s="373"/>
      <c r="AP321" s="373">
        <f>SUM(AP322:AP322)</f>
        <v>0</v>
      </c>
      <c r="AQ321" s="373"/>
      <c r="AR321" s="373"/>
      <c r="AS321" s="374"/>
      <c r="AT321" s="373"/>
      <c r="AU321" s="373">
        <f>SUM(AU322:AU322)</f>
        <v>0</v>
      </c>
      <c r="AV321" s="373"/>
      <c r="AW321" s="373"/>
      <c r="AX321" s="374"/>
      <c r="AY321" s="373"/>
      <c r="AZ321" s="373">
        <f>SUM(AZ322:AZ322)</f>
        <v>0</v>
      </c>
      <c r="BA321" s="373"/>
      <c r="BB321" s="373"/>
      <c r="BC321" s="374"/>
      <c r="BD321" s="373"/>
      <c r="BE321" s="373">
        <f>SUM(BE322:BE322)</f>
        <v>0</v>
      </c>
      <c r="BF321" s="373"/>
      <c r="BG321" s="373"/>
      <c r="BH321" s="374"/>
      <c r="BI321" s="373"/>
      <c r="BJ321" s="373">
        <f>SUM(BJ322:BJ322)</f>
        <v>0</v>
      </c>
      <c r="BK321" s="373"/>
      <c r="BL321" s="373"/>
      <c r="BM321" s="374"/>
      <c r="BN321" s="373"/>
      <c r="BO321" s="373">
        <f>SUM(BO322:BO322)</f>
        <v>0</v>
      </c>
      <c r="BP321" s="373"/>
      <c r="BQ321" s="373"/>
      <c r="BR321" s="374"/>
      <c r="BS321" s="373"/>
      <c r="BT321" s="373">
        <f>SUM(BT322:BT322)</f>
        <v>0</v>
      </c>
      <c r="BU321" s="373"/>
      <c r="BV321" s="373"/>
      <c r="BW321" s="9"/>
      <c r="BZ321" s="10"/>
      <c r="CA321" s="10"/>
    </row>
    <row r="322" spans="4:79" ht="12.75" customHeight="1" x14ac:dyDescent="0.2">
      <c r="D322" s="9" t="s">
        <v>343</v>
      </c>
      <c r="F322" s="378"/>
      <c r="G322" s="379">
        <v>0</v>
      </c>
      <c r="H322" s="380"/>
      <c r="I322" s="373"/>
      <c r="J322" s="374"/>
      <c r="K322" s="381"/>
      <c r="L322" s="379">
        <v>0</v>
      </c>
      <c r="M322" s="380"/>
      <c r="N322" s="373"/>
      <c r="O322" s="374"/>
      <c r="P322" s="381"/>
      <c r="Q322" s="379">
        <v>0</v>
      </c>
      <c r="R322" s="380"/>
      <c r="S322" s="373"/>
      <c r="T322" s="374"/>
      <c r="U322" s="381"/>
      <c r="V322" s="379">
        <v>0</v>
      </c>
      <c r="W322" s="380"/>
      <c r="X322" s="373"/>
      <c r="Y322" s="374"/>
      <c r="Z322" s="381"/>
      <c r="AA322" s="379">
        <v>0</v>
      </c>
      <c r="AB322" s="380"/>
      <c r="AC322" s="373"/>
      <c r="AD322" s="374"/>
      <c r="AE322" s="381"/>
      <c r="AF322" s="379">
        <v>0</v>
      </c>
      <c r="AG322" s="380"/>
      <c r="AH322" s="373"/>
      <c r="AI322" s="374"/>
      <c r="AJ322" s="381"/>
      <c r="AK322" s="379">
        <v>0</v>
      </c>
      <c r="AL322" s="380"/>
      <c r="AM322" s="373"/>
      <c r="AN322" s="374"/>
      <c r="AO322" s="381"/>
      <c r="AP322" s="379">
        <v>0</v>
      </c>
      <c r="AQ322" s="380"/>
      <c r="AR322" s="373"/>
      <c r="AS322" s="374"/>
      <c r="AT322" s="381"/>
      <c r="AU322" s="379">
        <v>0</v>
      </c>
      <c r="AV322" s="380"/>
      <c r="AW322" s="373"/>
      <c r="AX322" s="374"/>
      <c r="AY322" s="381"/>
      <c r="AZ322" s="379">
        <v>0</v>
      </c>
      <c r="BA322" s="380"/>
      <c r="BB322" s="373"/>
      <c r="BC322" s="374"/>
      <c r="BD322" s="381"/>
      <c r="BE322" s="379">
        <v>0</v>
      </c>
      <c r="BF322" s="380"/>
      <c r="BG322" s="373"/>
      <c r="BH322" s="374"/>
      <c r="BI322" s="381"/>
      <c r="BJ322" s="379">
        <v>0</v>
      </c>
      <c r="BK322" s="380"/>
      <c r="BL322" s="373"/>
      <c r="BM322" s="374"/>
      <c r="BN322" s="381"/>
      <c r="BO322" s="379">
        <v>0</v>
      </c>
      <c r="BP322" s="380"/>
      <c r="BQ322" s="373"/>
      <c r="BR322" s="374"/>
      <c r="BS322" s="381"/>
      <c r="BT322" s="379">
        <f>SUM(L322:BO322)</f>
        <v>0</v>
      </c>
      <c r="BU322" s="380"/>
      <c r="BV322" s="373"/>
      <c r="BW322" s="9"/>
      <c r="BZ322" s="10"/>
      <c r="CA322" s="10"/>
    </row>
    <row r="323" spans="4:79" ht="12.75" customHeight="1" x14ac:dyDescent="0.2">
      <c r="D323" s="9"/>
      <c r="G323" s="373"/>
      <c r="H323" s="373"/>
      <c r="I323" s="373"/>
      <c r="J323" s="374"/>
      <c r="K323" s="373"/>
      <c r="L323" s="373"/>
      <c r="M323" s="373"/>
      <c r="N323" s="373"/>
      <c r="O323" s="374"/>
      <c r="P323" s="373"/>
      <c r="Q323" s="373"/>
      <c r="R323" s="373"/>
      <c r="S323" s="373"/>
      <c r="T323" s="374"/>
      <c r="U323" s="373"/>
      <c r="V323" s="373"/>
      <c r="W323" s="373"/>
      <c r="X323" s="373"/>
      <c r="Y323" s="374"/>
      <c r="Z323" s="373"/>
      <c r="AA323" s="373"/>
      <c r="AB323" s="373"/>
      <c r="AC323" s="373"/>
      <c r="AD323" s="374"/>
      <c r="AE323" s="373"/>
      <c r="AF323" s="373"/>
      <c r="AG323" s="373"/>
      <c r="AH323" s="373"/>
      <c r="AI323" s="374"/>
      <c r="AJ323" s="373"/>
      <c r="AK323" s="373"/>
      <c r="AL323" s="373"/>
      <c r="AM323" s="373"/>
      <c r="AN323" s="374"/>
      <c r="AO323" s="373"/>
      <c r="AP323" s="373"/>
      <c r="AQ323" s="373"/>
      <c r="AR323" s="373"/>
      <c r="AS323" s="374"/>
      <c r="AT323" s="373"/>
      <c r="AU323" s="373"/>
      <c r="AV323" s="373"/>
      <c r="AW323" s="373"/>
      <c r="AX323" s="374"/>
      <c r="AY323" s="373"/>
      <c r="AZ323" s="373"/>
      <c r="BA323" s="373"/>
      <c r="BB323" s="373"/>
      <c r="BC323" s="374"/>
      <c r="BD323" s="373"/>
      <c r="BE323" s="373"/>
      <c r="BF323" s="373"/>
      <c r="BG323" s="373"/>
      <c r="BH323" s="374"/>
      <c r="BI323" s="373"/>
      <c r="BJ323" s="373"/>
      <c r="BK323" s="373"/>
      <c r="BL323" s="373"/>
      <c r="BM323" s="374"/>
      <c r="BN323" s="373"/>
      <c r="BO323" s="373"/>
      <c r="BP323" s="373"/>
      <c r="BQ323" s="373"/>
      <c r="BR323" s="374"/>
      <c r="BS323" s="373"/>
      <c r="BT323" s="373"/>
      <c r="BU323" s="373"/>
      <c r="BV323" s="373"/>
      <c r="BW323" s="9"/>
      <c r="BZ323" s="10"/>
      <c r="CA323" s="10"/>
    </row>
    <row r="324" spans="4:79" ht="12.75" customHeight="1" x14ac:dyDescent="0.2">
      <c r="D324" s="9" t="s">
        <v>363</v>
      </c>
      <c r="G324" s="373">
        <v>0</v>
      </c>
      <c r="H324" s="373"/>
      <c r="I324" s="373"/>
      <c r="J324" s="374"/>
      <c r="K324" s="373"/>
      <c r="L324" s="373">
        <f>SUM(L325:L325)</f>
        <v>0</v>
      </c>
      <c r="M324" s="373"/>
      <c r="N324" s="373"/>
      <c r="O324" s="374"/>
      <c r="P324" s="373"/>
      <c r="Q324" s="373">
        <f>SUM(Q325:Q325)</f>
        <v>0</v>
      </c>
      <c r="R324" s="373"/>
      <c r="S324" s="373"/>
      <c r="T324" s="374"/>
      <c r="U324" s="373"/>
      <c r="V324" s="373">
        <f>SUM(V325:V325)</f>
        <v>0</v>
      </c>
      <c r="W324" s="373"/>
      <c r="X324" s="373"/>
      <c r="Y324" s="374"/>
      <c r="Z324" s="373"/>
      <c r="AA324" s="373">
        <f>SUM(AA325:AA325)</f>
        <v>0</v>
      </c>
      <c r="AB324" s="373"/>
      <c r="AC324" s="373"/>
      <c r="AD324" s="374"/>
      <c r="AE324" s="373"/>
      <c r="AF324" s="373">
        <f>SUM(AF325:AF325)</f>
        <v>0</v>
      </c>
      <c r="AG324" s="373"/>
      <c r="AH324" s="373"/>
      <c r="AI324" s="374"/>
      <c r="AJ324" s="373"/>
      <c r="AK324" s="373">
        <f>SUM(AK325:AK325)</f>
        <v>0</v>
      </c>
      <c r="AL324" s="373"/>
      <c r="AM324" s="373"/>
      <c r="AN324" s="374"/>
      <c r="AO324" s="373"/>
      <c r="AP324" s="373">
        <f>SUM(AP325:AP325)</f>
        <v>0</v>
      </c>
      <c r="AQ324" s="373"/>
      <c r="AR324" s="373"/>
      <c r="AS324" s="374"/>
      <c r="AT324" s="373"/>
      <c r="AU324" s="373">
        <f>SUM(AU325:AU325)</f>
        <v>0</v>
      </c>
      <c r="AV324" s="373"/>
      <c r="AW324" s="373"/>
      <c r="AX324" s="374"/>
      <c r="AY324" s="373"/>
      <c r="AZ324" s="373">
        <f>SUM(AZ325:AZ325)</f>
        <v>0</v>
      </c>
      <c r="BA324" s="373"/>
      <c r="BB324" s="373"/>
      <c r="BC324" s="374"/>
      <c r="BD324" s="373"/>
      <c r="BE324" s="373">
        <f>SUM(BE325:BE325)</f>
        <v>0</v>
      </c>
      <c r="BF324" s="373"/>
      <c r="BG324" s="373"/>
      <c r="BH324" s="374"/>
      <c r="BI324" s="373"/>
      <c r="BJ324" s="373">
        <f>SUM(BJ325:BJ325)</f>
        <v>0</v>
      </c>
      <c r="BK324" s="373"/>
      <c r="BL324" s="373"/>
      <c r="BM324" s="374"/>
      <c r="BN324" s="373"/>
      <c r="BO324" s="373">
        <f>SUM(BO325:BO325)</f>
        <v>0</v>
      </c>
      <c r="BP324" s="373"/>
      <c r="BQ324" s="373"/>
      <c r="BR324" s="374"/>
      <c r="BS324" s="373"/>
      <c r="BT324" s="373">
        <f>SUM(BT325:BT325)</f>
        <v>0</v>
      </c>
      <c r="BU324" s="373"/>
      <c r="BV324" s="373"/>
      <c r="BW324" s="9"/>
      <c r="BZ324" s="10"/>
      <c r="CA324" s="10"/>
    </row>
    <row r="325" spans="4:79" ht="12.75" customHeight="1" x14ac:dyDescent="0.2">
      <c r="D325" s="9" t="s">
        <v>343</v>
      </c>
      <c r="F325" s="378"/>
      <c r="G325" s="379">
        <v>0</v>
      </c>
      <c r="H325" s="380"/>
      <c r="I325" s="373"/>
      <c r="J325" s="374"/>
      <c r="K325" s="381"/>
      <c r="L325" s="379">
        <v>0</v>
      </c>
      <c r="M325" s="380"/>
      <c r="N325" s="373"/>
      <c r="O325" s="374"/>
      <c r="P325" s="381"/>
      <c r="Q325" s="379">
        <v>0</v>
      </c>
      <c r="R325" s="380"/>
      <c r="S325" s="373"/>
      <c r="T325" s="374"/>
      <c r="U325" s="381"/>
      <c r="V325" s="379">
        <v>0</v>
      </c>
      <c r="W325" s="380"/>
      <c r="X325" s="373"/>
      <c r="Y325" s="374"/>
      <c r="Z325" s="381"/>
      <c r="AA325" s="379">
        <v>0</v>
      </c>
      <c r="AB325" s="380"/>
      <c r="AC325" s="373"/>
      <c r="AD325" s="374"/>
      <c r="AE325" s="381"/>
      <c r="AF325" s="379">
        <v>0</v>
      </c>
      <c r="AG325" s="380"/>
      <c r="AH325" s="373"/>
      <c r="AI325" s="374"/>
      <c r="AJ325" s="381"/>
      <c r="AK325" s="379">
        <v>0</v>
      </c>
      <c r="AL325" s="380"/>
      <c r="AM325" s="373"/>
      <c r="AN325" s="374"/>
      <c r="AO325" s="381"/>
      <c r="AP325" s="379">
        <v>0</v>
      </c>
      <c r="AQ325" s="380"/>
      <c r="AR325" s="373"/>
      <c r="AS325" s="374"/>
      <c r="AT325" s="381"/>
      <c r="AU325" s="379">
        <v>0</v>
      </c>
      <c r="AV325" s="380"/>
      <c r="AW325" s="373"/>
      <c r="AX325" s="374"/>
      <c r="AY325" s="381"/>
      <c r="AZ325" s="379">
        <v>0</v>
      </c>
      <c r="BA325" s="380"/>
      <c r="BB325" s="373"/>
      <c r="BC325" s="374"/>
      <c r="BD325" s="381"/>
      <c r="BE325" s="379">
        <v>0</v>
      </c>
      <c r="BF325" s="380"/>
      <c r="BG325" s="373"/>
      <c r="BH325" s="374"/>
      <c r="BI325" s="381"/>
      <c r="BJ325" s="379">
        <v>0</v>
      </c>
      <c r="BK325" s="380"/>
      <c r="BL325" s="373"/>
      <c r="BM325" s="374"/>
      <c r="BN325" s="381"/>
      <c r="BO325" s="379">
        <v>0</v>
      </c>
      <c r="BP325" s="380"/>
      <c r="BQ325" s="373"/>
      <c r="BR325" s="374"/>
      <c r="BS325" s="381"/>
      <c r="BT325" s="379">
        <f>SUM(L325:BO325)</f>
        <v>0</v>
      </c>
      <c r="BU325" s="380"/>
      <c r="BV325" s="373"/>
      <c r="BW325" s="9"/>
      <c r="BZ325" s="10"/>
      <c r="CA325" s="10"/>
    </row>
    <row r="326" spans="4:79" ht="12.75" customHeight="1" x14ac:dyDescent="0.2">
      <c r="D326" s="9"/>
      <c r="G326" s="373"/>
      <c r="H326" s="373"/>
      <c r="I326" s="373"/>
      <c r="J326" s="374"/>
      <c r="K326" s="373"/>
      <c r="L326" s="373"/>
      <c r="M326" s="373"/>
      <c r="N326" s="373"/>
      <c r="O326" s="374"/>
      <c r="P326" s="373"/>
      <c r="Q326" s="373"/>
      <c r="R326" s="373"/>
      <c r="S326" s="373"/>
      <c r="T326" s="374"/>
      <c r="U326" s="373"/>
      <c r="V326" s="373"/>
      <c r="W326" s="373"/>
      <c r="X326" s="373"/>
      <c r="Y326" s="374"/>
      <c r="Z326" s="373"/>
      <c r="AA326" s="373"/>
      <c r="AB326" s="373"/>
      <c r="AC326" s="373"/>
      <c r="AD326" s="374"/>
      <c r="AE326" s="373"/>
      <c r="AF326" s="373"/>
      <c r="AG326" s="373"/>
      <c r="AH326" s="373"/>
      <c r="AI326" s="374"/>
      <c r="AJ326" s="373"/>
      <c r="AK326" s="373"/>
      <c r="AL326" s="373"/>
      <c r="AM326" s="373"/>
      <c r="AN326" s="374"/>
      <c r="AO326" s="373"/>
      <c r="AP326" s="373"/>
      <c r="AQ326" s="373"/>
      <c r="AR326" s="373"/>
      <c r="AS326" s="374"/>
      <c r="AT326" s="373"/>
      <c r="AU326" s="373"/>
      <c r="AV326" s="373"/>
      <c r="AW326" s="373"/>
      <c r="AX326" s="374"/>
      <c r="AY326" s="373"/>
      <c r="AZ326" s="373"/>
      <c r="BA326" s="373"/>
      <c r="BB326" s="373"/>
      <c r="BC326" s="374"/>
      <c r="BD326" s="373"/>
      <c r="BE326" s="373"/>
      <c r="BF326" s="373"/>
      <c r="BG326" s="373"/>
      <c r="BH326" s="374"/>
      <c r="BI326" s="373"/>
      <c r="BJ326" s="373"/>
      <c r="BK326" s="373"/>
      <c r="BL326" s="373"/>
      <c r="BM326" s="374"/>
      <c r="BN326" s="373"/>
      <c r="BO326" s="373"/>
      <c r="BP326" s="373"/>
      <c r="BQ326" s="373"/>
      <c r="BR326" s="374"/>
      <c r="BS326" s="373"/>
      <c r="BT326" s="373"/>
      <c r="BU326" s="373"/>
      <c r="BV326" s="373"/>
      <c r="BW326" s="9"/>
      <c r="BZ326" s="10"/>
      <c r="CA326" s="10"/>
    </row>
    <row r="327" spans="4:79" x14ac:dyDescent="0.2">
      <c r="D327" s="9" t="s">
        <v>364</v>
      </c>
      <c r="G327" s="373">
        <f>SUM(G328)</f>
        <v>0</v>
      </c>
      <c r="H327" s="373"/>
      <c r="I327" s="373"/>
      <c r="J327" s="374"/>
      <c r="L327" s="373">
        <f>SUM(L328)</f>
        <v>0</v>
      </c>
      <c r="M327" s="373"/>
      <c r="N327" s="373"/>
      <c r="O327" s="374"/>
      <c r="Q327" s="373">
        <f>SUM(Q328)</f>
        <v>0</v>
      </c>
      <c r="R327" s="373"/>
      <c r="S327" s="373"/>
      <c r="T327" s="374"/>
      <c r="V327" s="373">
        <f>SUM(V328)</f>
        <v>0</v>
      </c>
      <c r="W327" s="373"/>
      <c r="X327" s="373"/>
      <c r="Y327" s="374"/>
      <c r="AA327" s="373">
        <f>SUM(AA328)</f>
        <v>0</v>
      </c>
      <c r="AB327" s="373"/>
      <c r="AC327" s="373"/>
      <c r="AD327" s="374"/>
      <c r="AF327" s="373">
        <f>SUM(AF328)</f>
        <v>0</v>
      </c>
      <c r="AG327" s="373"/>
      <c r="AH327" s="373"/>
      <c r="AI327" s="374"/>
      <c r="AK327" s="373">
        <f>SUM(AK328)</f>
        <v>0</v>
      </c>
      <c r="AL327" s="373"/>
      <c r="AM327" s="373"/>
      <c r="AN327" s="374"/>
      <c r="AP327" s="373">
        <f>SUM(AP328)</f>
        <v>0</v>
      </c>
      <c r="AQ327" s="373"/>
      <c r="AR327" s="373"/>
      <c r="AS327" s="374"/>
      <c r="AU327" s="373">
        <f>SUM(AU328)</f>
        <v>0</v>
      </c>
      <c r="AV327" s="373"/>
      <c r="AW327" s="373"/>
      <c r="AX327" s="374"/>
      <c r="AZ327" s="373">
        <f>SUM(AZ328)</f>
        <v>0</v>
      </c>
      <c r="BA327" s="373"/>
      <c r="BB327" s="373"/>
      <c r="BC327" s="374"/>
      <c r="BE327" s="373">
        <f>SUM(BE328)</f>
        <v>0</v>
      </c>
      <c r="BF327" s="373"/>
      <c r="BG327" s="373"/>
      <c r="BH327" s="374"/>
      <c r="BJ327" s="373">
        <f>SUM(BJ328)</f>
        <v>0</v>
      </c>
      <c r="BK327" s="373"/>
      <c r="BL327" s="373"/>
      <c r="BM327" s="374"/>
      <c r="BO327" s="373">
        <f>SUM(BO328)</f>
        <v>0</v>
      </c>
      <c r="BP327" s="373"/>
      <c r="BQ327" s="373"/>
      <c r="BR327" s="374"/>
      <c r="BT327" s="373">
        <f>SUM(BT328:BT328)</f>
        <v>0</v>
      </c>
      <c r="BU327" s="373"/>
      <c r="BV327" s="373"/>
      <c r="BW327" s="9"/>
      <c r="BZ327" s="10"/>
      <c r="CA327" s="10"/>
    </row>
    <row r="328" spans="4:79" x14ac:dyDescent="0.2">
      <c r="D328" s="9" t="s">
        <v>343</v>
      </c>
      <c r="F328" s="378"/>
      <c r="G328" s="379">
        <v>0</v>
      </c>
      <c r="H328" s="380"/>
      <c r="I328" s="373"/>
      <c r="J328" s="374"/>
      <c r="K328" s="378"/>
      <c r="L328" s="379">
        <v>0</v>
      </c>
      <c r="M328" s="380"/>
      <c r="N328" s="373"/>
      <c r="O328" s="374"/>
      <c r="P328" s="378"/>
      <c r="Q328" s="379">
        <v>0</v>
      </c>
      <c r="R328" s="380"/>
      <c r="S328" s="373"/>
      <c r="T328" s="374"/>
      <c r="U328" s="378"/>
      <c r="V328" s="379">
        <v>0</v>
      </c>
      <c r="W328" s="380"/>
      <c r="X328" s="373"/>
      <c r="Y328" s="374"/>
      <c r="Z328" s="378"/>
      <c r="AA328" s="379">
        <v>0</v>
      </c>
      <c r="AB328" s="380"/>
      <c r="AC328" s="373"/>
      <c r="AD328" s="374"/>
      <c r="AE328" s="378"/>
      <c r="AF328" s="379">
        <v>0</v>
      </c>
      <c r="AG328" s="380"/>
      <c r="AH328" s="373"/>
      <c r="AI328" s="374"/>
      <c r="AJ328" s="378"/>
      <c r="AK328" s="379">
        <v>0</v>
      </c>
      <c r="AL328" s="380"/>
      <c r="AM328" s="373"/>
      <c r="AN328" s="374"/>
      <c r="AO328" s="378"/>
      <c r="AP328" s="379">
        <v>0</v>
      </c>
      <c r="AQ328" s="380"/>
      <c r="AR328" s="373"/>
      <c r="AS328" s="374"/>
      <c r="AT328" s="378"/>
      <c r="AU328" s="379">
        <v>0</v>
      </c>
      <c r="AV328" s="380"/>
      <c r="AW328" s="373"/>
      <c r="AX328" s="374"/>
      <c r="AY328" s="378"/>
      <c r="AZ328" s="379">
        <v>0</v>
      </c>
      <c r="BA328" s="380"/>
      <c r="BB328" s="373"/>
      <c r="BC328" s="374"/>
      <c r="BD328" s="378"/>
      <c r="BE328" s="379">
        <v>0</v>
      </c>
      <c r="BF328" s="380"/>
      <c r="BG328" s="373"/>
      <c r="BH328" s="374"/>
      <c r="BI328" s="378"/>
      <c r="BJ328" s="379">
        <v>0</v>
      </c>
      <c r="BK328" s="380"/>
      <c r="BL328" s="373"/>
      <c r="BM328" s="374"/>
      <c r="BN328" s="378"/>
      <c r="BO328" s="379">
        <v>0</v>
      </c>
      <c r="BP328" s="380"/>
      <c r="BQ328" s="373"/>
      <c r="BR328" s="374"/>
      <c r="BS328" s="378"/>
      <c r="BT328" s="379">
        <f>SUM(L328:BO328)</f>
        <v>0</v>
      </c>
      <c r="BU328" s="380"/>
      <c r="BV328" s="373"/>
      <c r="BW328" s="9"/>
      <c r="BZ328" s="10"/>
      <c r="CA328" s="10"/>
    </row>
    <row r="329" spans="4:79" x14ac:dyDescent="0.2">
      <c r="D329" s="9"/>
      <c r="G329" s="373"/>
      <c r="H329" s="373"/>
      <c r="I329" s="373"/>
      <c r="J329" s="374"/>
      <c r="K329" s="373"/>
      <c r="L329" s="373"/>
      <c r="M329" s="373"/>
      <c r="N329" s="373"/>
      <c r="O329" s="374"/>
      <c r="P329" s="373"/>
      <c r="Q329" s="373"/>
      <c r="R329" s="373"/>
      <c r="S329" s="373"/>
      <c r="T329" s="374"/>
      <c r="U329" s="373"/>
      <c r="V329" s="373"/>
      <c r="W329" s="373"/>
      <c r="X329" s="373"/>
      <c r="Y329" s="374"/>
      <c r="Z329" s="373"/>
      <c r="AA329" s="373"/>
      <c r="AB329" s="373"/>
      <c r="AC329" s="373"/>
      <c r="AD329" s="374"/>
      <c r="AE329" s="373"/>
      <c r="AF329" s="373"/>
      <c r="AG329" s="373"/>
      <c r="AH329" s="373"/>
      <c r="AI329" s="374"/>
      <c r="AJ329" s="373"/>
      <c r="AK329" s="373"/>
      <c r="AL329" s="373"/>
      <c r="AM329" s="373"/>
      <c r="AN329" s="374"/>
      <c r="AO329" s="373"/>
      <c r="AP329" s="373"/>
      <c r="AQ329" s="373"/>
      <c r="AR329" s="373"/>
      <c r="AS329" s="374"/>
      <c r="AT329" s="373"/>
      <c r="AU329" s="373"/>
      <c r="AV329" s="373"/>
      <c r="AW329" s="373"/>
      <c r="AX329" s="374"/>
      <c r="AY329" s="373"/>
      <c r="AZ329" s="373"/>
      <c r="BA329" s="373"/>
      <c r="BB329" s="373"/>
      <c r="BC329" s="374"/>
      <c r="BD329" s="373"/>
      <c r="BE329" s="373"/>
      <c r="BF329" s="373"/>
      <c r="BG329" s="373"/>
      <c r="BH329" s="374"/>
      <c r="BI329" s="373"/>
      <c r="BJ329" s="373"/>
      <c r="BK329" s="373"/>
      <c r="BL329" s="373"/>
      <c r="BM329" s="374"/>
      <c r="BN329" s="373"/>
      <c r="BO329" s="373"/>
      <c r="BP329" s="373"/>
      <c r="BQ329" s="373"/>
      <c r="BR329" s="374"/>
      <c r="BS329" s="373"/>
      <c r="BT329" s="373"/>
      <c r="BU329" s="373"/>
      <c r="BV329" s="373"/>
      <c r="BW329" s="9"/>
      <c r="BZ329" s="10"/>
      <c r="CA329" s="10"/>
    </row>
    <row r="330" spans="4:79" x14ac:dyDescent="0.2">
      <c r="D330" s="9" t="s">
        <v>357</v>
      </c>
      <c r="G330" s="1">
        <v>0</v>
      </c>
      <c r="I330" s="373"/>
      <c r="J330" s="374"/>
      <c r="K330" s="373"/>
      <c r="L330" s="373">
        <f>SUM(L331:L331)</f>
        <v>0</v>
      </c>
      <c r="M330" s="373"/>
      <c r="N330" s="373"/>
      <c r="O330" s="374"/>
      <c r="P330" s="373"/>
      <c r="Q330" s="373">
        <f>SUM(Q331:Q331)</f>
        <v>0</v>
      </c>
      <c r="R330" s="373"/>
      <c r="S330" s="373"/>
      <c r="T330" s="374"/>
      <c r="U330" s="373"/>
      <c r="V330" s="373">
        <f>SUM(V331:V331)</f>
        <v>0</v>
      </c>
      <c r="W330" s="373"/>
      <c r="X330" s="373"/>
      <c r="Y330" s="374"/>
      <c r="Z330" s="373"/>
      <c r="AA330" s="373">
        <f>SUM(AA331:AA331)</f>
        <v>0</v>
      </c>
      <c r="AB330" s="373"/>
      <c r="AC330" s="373"/>
      <c r="AD330" s="374"/>
      <c r="AE330" s="373"/>
      <c r="AF330" s="373">
        <f>SUM(AF331:AF331)</f>
        <v>0</v>
      </c>
      <c r="AG330" s="373"/>
      <c r="AH330" s="373"/>
      <c r="AI330" s="374"/>
      <c r="AJ330" s="373"/>
      <c r="AK330" s="373">
        <f>SUM(AK331:AK331)</f>
        <v>18552</v>
      </c>
      <c r="AL330" s="373"/>
      <c r="AM330" s="373"/>
      <c r="AN330" s="374"/>
      <c r="AO330" s="373"/>
      <c r="AP330" s="373">
        <f>SUM(AP331:AP331)</f>
        <v>0</v>
      </c>
      <c r="AQ330" s="373"/>
      <c r="AR330" s="373"/>
      <c r="AS330" s="374"/>
      <c r="AT330" s="373"/>
      <c r="AU330" s="373">
        <f>SUM(AU331:AU331)</f>
        <v>0</v>
      </c>
      <c r="AV330" s="373"/>
      <c r="AW330" s="373"/>
      <c r="AX330" s="374"/>
      <c r="AY330" s="373"/>
      <c r="AZ330" s="373">
        <f>SUM(AZ331:AZ331)</f>
        <v>0</v>
      </c>
      <c r="BA330" s="373"/>
      <c r="BB330" s="373"/>
      <c r="BC330" s="374"/>
      <c r="BD330" s="373"/>
      <c r="BE330" s="373">
        <f>SUM(BE331:BE331)</f>
        <v>0</v>
      </c>
      <c r="BF330" s="373"/>
      <c r="BG330" s="373"/>
      <c r="BH330" s="374"/>
      <c r="BI330" s="373"/>
      <c r="BJ330" s="373">
        <f>SUM(BJ331:BJ331)</f>
        <v>0</v>
      </c>
      <c r="BK330" s="373"/>
      <c r="BL330" s="373"/>
      <c r="BM330" s="374"/>
      <c r="BN330" s="373"/>
      <c r="BO330" s="373">
        <f>SUM(BO331:BO331)</f>
        <v>0</v>
      </c>
      <c r="BP330" s="373"/>
      <c r="BQ330" s="373"/>
      <c r="BR330" s="374"/>
      <c r="BS330" s="373"/>
      <c r="BT330" s="373">
        <f>SUM(BT331:BT331)</f>
        <v>18552</v>
      </c>
      <c r="BU330" s="373"/>
      <c r="BV330" s="373"/>
      <c r="BW330" s="9"/>
      <c r="BZ330" s="10"/>
      <c r="CA330" s="10"/>
    </row>
    <row r="331" spans="4:79" x14ac:dyDescent="0.2">
      <c r="D331" s="9" t="s">
        <v>343</v>
      </c>
      <c r="F331" s="378"/>
      <c r="G331" s="379">
        <v>0</v>
      </c>
      <c r="H331" s="380"/>
      <c r="I331" s="373"/>
      <c r="J331" s="374"/>
      <c r="K331" s="378"/>
      <c r="L331" s="379">
        <v>0</v>
      </c>
      <c r="M331" s="380"/>
      <c r="N331" s="373"/>
      <c r="O331" s="374"/>
      <c r="P331" s="378"/>
      <c r="Q331" s="379">
        <v>0</v>
      </c>
      <c r="R331" s="380"/>
      <c r="S331" s="373"/>
      <c r="T331" s="374"/>
      <c r="U331" s="378"/>
      <c r="V331" s="379">
        <v>0</v>
      </c>
      <c r="W331" s="380"/>
      <c r="X331" s="373"/>
      <c r="Y331" s="374"/>
      <c r="Z331" s="378"/>
      <c r="AA331" s="379">
        <v>0</v>
      </c>
      <c r="AB331" s="380"/>
      <c r="AC331" s="373"/>
      <c r="AD331" s="374"/>
      <c r="AE331" s="378"/>
      <c r="AF331" s="379">
        <v>0</v>
      </c>
      <c r="AG331" s="380"/>
      <c r="AH331" s="373"/>
      <c r="AI331" s="374"/>
      <c r="AJ331" s="378"/>
      <c r="AK331" s="379">
        <v>18552</v>
      </c>
      <c r="AL331" s="380"/>
      <c r="AM331" s="373"/>
      <c r="AN331" s="374"/>
      <c r="AO331" s="378"/>
      <c r="AP331" s="379">
        <v>0</v>
      </c>
      <c r="AQ331" s="380"/>
      <c r="AR331" s="373"/>
      <c r="AS331" s="374"/>
      <c r="AT331" s="378"/>
      <c r="AU331" s="379">
        <v>0</v>
      </c>
      <c r="AV331" s="380"/>
      <c r="AW331" s="373"/>
      <c r="AX331" s="374"/>
      <c r="AY331" s="378"/>
      <c r="AZ331" s="379">
        <v>0</v>
      </c>
      <c r="BA331" s="380"/>
      <c r="BB331" s="373"/>
      <c r="BC331" s="374"/>
      <c r="BD331" s="378"/>
      <c r="BE331" s="379">
        <v>0</v>
      </c>
      <c r="BF331" s="380"/>
      <c r="BG331" s="373"/>
      <c r="BH331" s="374"/>
      <c r="BI331" s="378"/>
      <c r="BJ331" s="379">
        <v>0</v>
      </c>
      <c r="BK331" s="380"/>
      <c r="BL331" s="373"/>
      <c r="BM331" s="374"/>
      <c r="BN331" s="378"/>
      <c r="BO331" s="379">
        <v>0</v>
      </c>
      <c r="BP331" s="380"/>
      <c r="BQ331" s="373"/>
      <c r="BR331" s="374"/>
      <c r="BS331" s="378"/>
      <c r="BT331" s="379">
        <f>SUM(L331:BO331)</f>
        <v>18552</v>
      </c>
      <c r="BU331" s="380"/>
      <c r="BV331" s="373"/>
      <c r="BW331" s="9"/>
      <c r="BZ331" s="10"/>
      <c r="CA331" s="10"/>
    </row>
    <row r="332" spans="4:79" x14ac:dyDescent="0.2">
      <c r="D332" s="9"/>
      <c r="G332" s="373"/>
      <c r="H332" s="373"/>
      <c r="I332" s="373"/>
      <c r="J332" s="374"/>
      <c r="L332" s="373"/>
      <c r="M332" s="373"/>
      <c r="N332" s="373"/>
      <c r="O332" s="374"/>
      <c r="Q332" s="373"/>
      <c r="R332" s="373"/>
      <c r="S332" s="373"/>
      <c r="T332" s="374"/>
      <c r="V332" s="373"/>
      <c r="W332" s="373"/>
      <c r="X332" s="373"/>
      <c r="Y332" s="374"/>
      <c r="AA332" s="373"/>
      <c r="AB332" s="373"/>
      <c r="AC332" s="373"/>
      <c r="AD332" s="374"/>
      <c r="AF332" s="373"/>
      <c r="AG332" s="373"/>
      <c r="AH332" s="373"/>
      <c r="AI332" s="374"/>
      <c r="AK332" s="373"/>
      <c r="AL332" s="373"/>
      <c r="AM332" s="373"/>
      <c r="AN332" s="374"/>
      <c r="AP332" s="373"/>
      <c r="AQ332" s="373"/>
      <c r="AR332" s="373"/>
      <c r="AS332" s="374"/>
      <c r="AU332" s="373"/>
      <c r="AV332" s="373"/>
      <c r="AW332" s="373"/>
      <c r="AX332" s="374"/>
      <c r="AZ332" s="373"/>
      <c r="BA332" s="373"/>
      <c r="BB332" s="373"/>
      <c r="BC332" s="374"/>
      <c r="BE332" s="373"/>
      <c r="BF332" s="373"/>
      <c r="BG332" s="373"/>
      <c r="BH332" s="374"/>
      <c r="BJ332" s="373"/>
      <c r="BK332" s="373"/>
      <c r="BL332" s="373"/>
      <c r="BM332" s="374"/>
      <c r="BO332" s="373"/>
      <c r="BP332" s="373"/>
      <c r="BQ332" s="373"/>
      <c r="BR332" s="374"/>
      <c r="BT332" s="373"/>
      <c r="BU332" s="373"/>
      <c r="BV332" s="373"/>
      <c r="BW332" s="9"/>
      <c r="BZ332" s="10"/>
      <c r="CA332" s="10"/>
    </row>
    <row r="333" spans="4:79" x14ac:dyDescent="0.2">
      <c r="D333" s="9" t="s">
        <v>373</v>
      </c>
      <c r="G333" s="1">
        <v>0</v>
      </c>
      <c r="I333" s="373"/>
      <c r="J333" s="374"/>
      <c r="K333" s="373"/>
      <c r="L333" s="373">
        <f>SUM(L334:L334)</f>
        <v>0</v>
      </c>
      <c r="M333" s="373"/>
      <c r="N333" s="373"/>
      <c r="O333" s="374"/>
      <c r="P333" s="373"/>
      <c r="Q333" s="373">
        <f>SUM(Q334:Q334)</f>
        <v>0</v>
      </c>
      <c r="R333" s="373"/>
      <c r="S333" s="373"/>
      <c r="T333" s="374"/>
      <c r="U333" s="373"/>
      <c r="V333" s="373">
        <f>SUM(V334:V334)</f>
        <v>0</v>
      </c>
      <c r="W333" s="373"/>
      <c r="X333" s="373"/>
      <c r="Y333" s="374"/>
      <c r="Z333" s="373"/>
      <c r="AA333" s="373">
        <f>SUM(AA334:AA334)</f>
        <v>0</v>
      </c>
      <c r="AB333" s="373"/>
      <c r="AC333" s="373"/>
      <c r="AD333" s="374"/>
      <c r="AE333" s="373"/>
      <c r="AF333" s="373">
        <f>SUM(AF334:AF334)</f>
        <v>0</v>
      </c>
      <c r="AG333" s="373"/>
      <c r="AH333" s="373"/>
      <c r="AI333" s="374"/>
      <c r="AJ333" s="373"/>
      <c r="AK333" s="373">
        <f>SUM(AK334:AK334)</f>
        <v>0</v>
      </c>
      <c r="AL333" s="373"/>
      <c r="AM333" s="373"/>
      <c r="AN333" s="374"/>
      <c r="AO333" s="373"/>
      <c r="AP333" s="373">
        <f>SUM(AP334:AP334)</f>
        <v>0</v>
      </c>
      <c r="AQ333" s="373"/>
      <c r="AR333" s="373"/>
      <c r="AS333" s="374"/>
      <c r="AT333" s="373"/>
      <c r="AU333" s="373">
        <f>SUM(AU334:AU334)</f>
        <v>0</v>
      </c>
      <c r="AV333" s="373"/>
      <c r="AW333" s="373"/>
      <c r="AX333" s="374"/>
      <c r="AY333" s="373"/>
      <c r="AZ333" s="373">
        <f>SUM(AZ334:AZ334)</f>
        <v>0</v>
      </c>
      <c r="BA333" s="373"/>
      <c r="BB333" s="373"/>
      <c r="BC333" s="374"/>
      <c r="BD333" s="373"/>
      <c r="BE333" s="373">
        <f>SUM(BE334:BE334)</f>
        <v>0</v>
      </c>
      <c r="BF333" s="373"/>
      <c r="BG333" s="373"/>
      <c r="BH333" s="374"/>
      <c r="BI333" s="373"/>
      <c r="BJ333" s="373">
        <f>SUM(BJ334:BJ334)</f>
        <v>0</v>
      </c>
      <c r="BK333" s="373"/>
      <c r="BL333" s="373"/>
      <c r="BM333" s="374"/>
      <c r="BN333" s="373"/>
      <c r="BO333" s="373">
        <f>SUM(BO334:BO334)</f>
        <v>0</v>
      </c>
      <c r="BP333" s="373"/>
      <c r="BQ333" s="373"/>
      <c r="BR333" s="374"/>
      <c r="BT333" s="373">
        <f>SUM(BT334:BT334)</f>
        <v>0</v>
      </c>
      <c r="BU333" s="373"/>
      <c r="BV333" s="373"/>
      <c r="BW333" s="9"/>
      <c r="BZ333" s="10"/>
      <c r="CA333" s="10"/>
    </row>
    <row r="334" spans="4:79" x14ac:dyDescent="0.2">
      <c r="D334" s="9" t="s">
        <v>343</v>
      </c>
      <c r="F334" s="378"/>
      <c r="G334" s="379">
        <v>0</v>
      </c>
      <c r="H334" s="380"/>
      <c r="I334" s="373"/>
      <c r="J334" s="374"/>
      <c r="K334" s="378"/>
      <c r="L334" s="379">
        <v>0</v>
      </c>
      <c r="M334" s="380"/>
      <c r="N334" s="373"/>
      <c r="O334" s="374"/>
      <c r="P334" s="378"/>
      <c r="Q334" s="379">
        <v>0</v>
      </c>
      <c r="R334" s="380"/>
      <c r="S334" s="373"/>
      <c r="T334" s="374"/>
      <c r="U334" s="378"/>
      <c r="V334" s="379">
        <v>0</v>
      </c>
      <c r="W334" s="380"/>
      <c r="X334" s="373"/>
      <c r="Y334" s="374"/>
      <c r="Z334" s="378"/>
      <c r="AA334" s="379">
        <v>0</v>
      </c>
      <c r="AB334" s="380"/>
      <c r="AC334" s="373"/>
      <c r="AD334" s="374"/>
      <c r="AE334" s="378"/>
      <c r="AF334" s="379">
        <v>0</v>
      </c>
      <c r="AG334" s="380"/>
      <c r="AH334" s="373"/>
      <c r="AI334" s="374"/>
      <c r="AJ334" s="378"/>
      <c r="AK334" s="379">
        <v>0</v>
      </c>
      <c r="AL334" s="380"/>
      <c r="AM334" s="373"/>
      <c r="AN334" s="374"/>
      <c r="AO334" s="378"/>
      <c r="AP334" s="379">
        <v>0</v>
      </c>
      <c r="AQ334" s="380"/>
      <c r="AR334" s="373"/>
      <c r="AS334" s="374"/>
      <c r="AT334" s="378"/>
      <c r="AU334" s="379">
        <v>0</v>
      </c>
      <c r="AV334" s="380"/>
      <c r="AW334" s="373"/>
      <c r="AX334" s="374"/>
      <c r="AY334" s="378"/>
      <c r="AZ334" s="379">
        <v>0</v>
      </c>
      <c r="BA334" s="380"/>
      <c r="BB334" s="373"/>
      <c r="BC334" s="374"/>
      <c r="BD334" s="378"/>
      <c r="BE334" s="379">
        <v>0</v>
      </c>
      <c r="BF334" s="380"/>
      <c r="BG334" s="373"/>
      <c r="BH334" s="374"/>
      <c r="BI334" s="378"/>
      <c r="BJ334" s="379">
        <v>0</v>
      </c>
      <c r="BK334" s="380"/>
      <c r="BL334" s="373"/>
      <c r="BM334" s="374"/>
      <c r="BN334" s="378"/>
      <c r="BO334" s="379">
        <v>0</v>
      </c>
      <c r="BP334" s="380"/>
      <c r="BQ334" s="373"/>
      <c r="BR334" s="374"/>
      <c r="BS334" s="378"/>
      <c r="BT334" s="379">
        <f>SUM(L334:BO334)</f>
        <v>0</v>
      </c>
      <c r="BU334" s="380"/>
      <c r="BV334" s="373"/>
      <c r="BW334" s="9"/>
      <c r="BZ334" s="10"/>
      <c r="CA334" s="10"/>
    </row>
    <row r="335" spans="4:79" x14ac:dyDescent="0.2">
      <c r="D335" s="9"/>
      <c r="G335" s="373"/>
      <c r="H335" s="373"/>
      <c r="I335" s="373"/>
      <c r="J335" s="374"/>
      <c r="L335" s="373"/>
      <c r="M335" s="373"/>
      <c r="N335" s="373"/>
      <c r="O335" s="374"/>
      <c r="Q335" s="373"/>
      <c r="R335" s="373"/>
      <c r="S335" s="373"/>
      <c r="T335" s="374"/>
      <c r="V335" s="373"/>
      <c r="W335" s="373"/>
      <c r="X335" s="373"/>
      <c r="Y335" s="374"/>
      <c r="AA335" s="373"/>
      <c r="AB335" s="373"/>
      <c r="AC335" s="373"/>
      <c r="AD335" s="374"/>
      <c r="AF335" s="373"/>
      <c r="AG335" s="373"/>
      <c r="AH335" s="373"/>
      <c r="AI335" s="374"/>
      <c r="AK335" s="373"/>
      <c r="AL335" s="373"/>
      <c r="AM335" s="373"/>
      <c r="AN335" s="374"/>
      <c r="AP335" s="373"/>
      <c r="AQ335" s="373"/>
      <c r="AR335" s="373"/>
      <c r="AS335" s="374"/>
      <c r="AU335" s="373"/>
      <c r="AV335" s="373"/>
      <c r="AW335" s="373"/>
      <c r="AX335" s="374"/>
      <c r="AZ335" s="373"/>
      <c r="BA335" s="373"/>
      <c r="BB335" s="373"/>
      <c r="BC335" s="374"/>
      <c r="BE335" s="373"/>
      <c r="BF335" s="373"/>
      <c r="BG335" s="373"/>
      <c r="BH335" s="374"/>
      <c r="BJ335" s="373"/>
      <c r="BK335" s="373"/>
      <c r="BL335" s="373"/>
      <c r="BM335" s="374"/>
      <c r="BO335" s="373"/>
      <c r="BP335" s="373"/>
      <c r="BQ335" s="373"/>
      <c r="BR335" s="374"/>
      <c r="BT335" s="373"/>
      <c r="BU335" s="373"/>
      <c r="BV335" s="373"/>
      <c r="BW335" s="9"/>
      <c r="BZ335" s="10"/>
      <c r="CA335" s="10"/>
    </row>
    <row r="336" spans="4:79" ht="12.75" customHeight="1" x14ac:dyDescent="0.2">
      <c r="D336" s="9" t="s">
        <v>409</v>
      </c>
      <c r="G336" s="1">
        <f>SUM(G337)</f>
        <v>0</v>
      </c>
      <c r="I336" s="373"/>
      <c r="J336" s="374"/>
      <c r="K336" s="373"/>
      <c r="L336" s="373">
        <f>SUM(L337:L337)</f>
        <v>0</v>
      </c>
      <c r="M336" s="373"/>
      <c r="N336" s="373"/>
      <c r="O336" s="374"/>
      <c r="P336" s="373"/>
      <c r="Q336" s="373">
        <f>SUM(Q337:Q337)</f>
        <v>0</v>
      </c>
      <c r="R336" s="373"/>
      <c r="S336" s="373"/>
      <c r="T336" s="374"/>
      <c r="U336" s="373"/>
      <c r="V336" s="373">
        <f>SUM(V337:V337)</f>
        <v>0</v>
      </c>
      <c r="W336" s="373"/>
      <c r="X336" s="373"/>
      <c r="Y336" s="374"/>
      <c r="Z336" s="373"/>
      <c r="AA336" s="373">
        <f>SUM(AA337:AA337)</f>
        <v>0</v>
      </c>
      <c r="AB336" s="373"/>
      <c r="AC336" s="373"/>
      <c r="AD336" s="374"/>
      <c r="AE336" s="373"/>
      <c r="AF336" s="373">
        <f>SUM(AF337:AF337)</f>
        <v>0</v>
      </c>
      <c r="AG336" s="373"/>
      <c r="AH336" s="373"/>
      <c r="AI336" s="374"/>
      <c r="AJ336" s="373"/>
      <c r="AK336" s="373">
        <f>SUM(AK337:AK337)</f>
        <v>0</v>
      </c>
      <c r="AL336" s="373"/>
      <c r="AM336" s="373"/>
      <c r="AN336" s="374"/>
      <c r="AO336" s="373"/>
      <c r="AP336" s="373">
        <f>SUM(AP337:AP337)</f>
        <v>0</v>
      </c>
      <c r="AQ336" s="373"/>
      <c r="AR336" s="373"/>
      <c r="AS336" s="374"/>
      <c r="AT336" s="373"/>
      <c r="AU336" s="373">
        <f>SUM(AU337:AU337)</f>
        <v>0</v>
      </c>
      <c r="AV336" s="373"/>
      <c r="AW336" s="373"/>
      <c r="AX336" s="374"/>
      <c r="AY336" s="373"/>
      <c r="AZ336" s="373">
        <f>SUM(AZ337:AZ337)</f>
        <v>0</v>
      </c>
      <c r="BA336" s="373"/>
      <c r="BB336" s="373"/>
      <c r="BC336" s="374"/>
      <c r="BD336" s="373"/>
      <c r="BE336" s="373">
        <f>SUM(BE337:BE337)</f>
        <v>0</v>
      </c>
      <c r="BF336" s="373"/>
      <c r="BG336" s="373"/>
      <c r="BH336" s="374"/>
      <c r="BI336" s="373"/>
      <c r="BJ336" s="373">
        <f>SUM(BJ337:BJ337)</f>
        <v>0</v>
      </c>
      <c r="BK336" s="373"/>
      <c r="BL336" s="373"/>
      <c r="BM336" s="374"/>
      <c r="BN336" s="373"/>
      <c r="BO336" s="373">
        <f>SUM(BO337:BO337)</f>
        <v>0</v>
      </c>
      <c r="BP336" s="373"/>
      <c r="BQ336" s="373"/>
      <c r="BR336" s="374"/>
      <c r="BT336" s="373">
        <f>SUM(BT337:BT337)</f>
        <v>0</v>
      </c>
      <c r="BU336" s="373"/>
      <c r="BV336" s="373"/>
      <c r="BW336" s="9"/>
      <c r="BZ336" s="10"/>
      <c r="CA336" s="10"/>
    </row>
    <row r="337" spans="4:79" ht="12.75" customHeight="1" x14ac:dyDescent="0.2">
      <c r="D337" s="9" t="s">
        <v>343</v>
      </c>
      <c r="F337" s="378"/>
      <c r="G337" s="379">
        <v>0</v>
      </c>
      <c r="H337" s="380"/>
      <c r="I337" s="373"/>
      <c r="J337" s="374"/>
      <c r="K337" s="378"/>
      <c r="L337" s="379">
        <v>0</v>
      </c>
      <c r="M337" s="380"/>
      <c r="N337" s="373"/>
      <c r="O337" s="374"/>
      <c r="P337" s="378"/>
      <c r="Q337" s="379">
        <v>0</v>
      </c>
      <c r="R337" s="380"/>
      <c r="S337" s="373"/>
      <c r="T337" s="374"/>
      <c r="U337" s="378"/>
      <c r="V337" s="379">
        <v>0</v>
      </c>
      <c r="W337" s="380"/>
      <c r="X337" s="373"/>
      <c r="Y337" s="374"/>
      <c r="Z337" s="378"/>
      <c r="AA337" s="379">
        <v>0</v>
      </c>
      <c r="AB337" s="380"/>
      <c r="AC337" s="373"/>
      <c r="AD337" s="374"/>
      <c r="AE337" s="378"/>
      <c r="AF337" s="379">
        <v>0</v>
      </c>
      <c r="AG337" s="380"/>
      <c r="AH337" s="373"/>
      <c r="AI337" s="374"/>
      <c r="AJ337" s="378"/>
      <c r="AK337" s="379">
        <v>0</v>
      </c>
      <c r="AL337" s="380"/>
      <c r="AM337" s="373"/>
      <c r="AN337" s="374"/>
      <c r="AO337" s="378"/>
      <c r="AP337" s="379">
        <v>0</v>
      </c>
      <c r="AQ337" s="380"/>
      <c r="AR337" s="373"/>
      <c r="AS337" s="374"/>
      <c r="AT337" s="378"/>
      <c r="AU337" s="379">
        <v>0</v>
      </c>
      <c r="AV337" s="380"/>
      <c r="AW337" s="373"/>
      <c r="AX337" s="374"/>
      <c r="AY337" s="378"/>
      <c r="AZ337" s="379">
        <v>0</v>
      </c>
      <c r="BA337" s="380"/>
      <c r="BB337" s="373"/>
      <c r="BC337" s="374"/>
      <c r="BD337" s="378"/>
      <c r="BE337" s="379">
        <v>0</v>
      </c>
      <c r="BF337" s="380"/>
      <c r="BG337" s="373"/>
      <c r="BH337" s="374"/>
      <c r="BI337" s="378"/>
      <c r="BJ337" s="379">
        <v>0</v>
      </c>
      <c r="BK337" s="380"/>
      <c r="BL337" s="373"/>
      <c r="BM337" s="374"/>
      <c r="BN337" s="378"/>
      <c r="BO337" s="379">
        <v>0</v>
      </c>
      <c r="BP337" s="380"/>
      <c r="BQ337" s="373"/>
      <c r="BR337" s="374"/>
      <c r="BS337" s="378"/>
      <c r="BT337" s="379">
        <f>SUM(L337:BO337)</f>
        <v>0</v>
      </c>
      <c r="BU337" s="380"/>
      <c r="BV337" s="373"/>
      <c r="BW337" s="9"/>
      <c r="BZ337" s="10"/>
      <c r="CA337" s="10"/>
    </row>
    <row r="338" spans="4:79" ht="12.75" customHeight="1" x14ac:dyDescent="0.2">
      <c r="D338" s="9"/>
      <c r="G338" s="373"/>
      <c r="H338" s="373"/>
      <c r="I338" s="373"/>
      <c r="J338" s="374"/>
      <c r="L338" s="373"/>
      <c r="M338" s="373"/>
      <c r="N338" s="373"/>
      <c r="O338" s="374"/>
      <c r="Q338" s="373"/>
      <c r="R338" s="373"/>
      <c r="S338" s="373"/>
      <c r="T338" s="374"/>
      <c r="V338" s="373"/>
      <c r="W338" s="373"/>
      <c r="X338" s="373"/>
      <c r="Y338" s="374"/>
      <c r="AA338" s="373"/>
      <c r="AB338" s="373"/>
      <c r="AC338" s="373"/>
      <c r="AD338" s="374"/>
      <c r="AF338" s="373"/>
      <c r="AG338" s="373"/>
      <c r="AH338" s="373"/>
      <c r="AI338" s="374"/>
      <c r="AK338" s="373"/>
      <c r="AL338" s="373"/>
      <c r="AM338" s="373"/>
      <c r="AN338" s="374"/>
      <c r="AP338" s="373"/>
      <c r="AQ338" s="373"/>
      <c r="AR338" s="373"/>
      <c r="AS338" s="374"/>
      <c r="AU338" s="373"/>
      <c r="AV338" s="373"/>
      <c r="AW338" s="373"/>
      <c r="AX338" s="374"/>
      <c r="AZ338" s="373"/>
      <c r="BA338" s="373"/>
      <c r="BB338" s="373"/>
      <c r="BC338" s="374"/>
      <c r="BE338" s="373"/>
      <c r="BF338" s="373"/>
      <c r="BG338" s="373"/>
      <c r="BH338" s="374"/>
      <c r="BJ338" s="373"/>
      <c r="BK338" s="373"/>
      <c r="BL338" s="373"/>
      <c r="BM338" s="374"/>
      <c r="BO338" s="373"/>
      <c r="BP338" s="373"/>
      <c r="BQ338" s="373"/>
      <c r="BR338" s="374"/>
      <c r="BT338" s="373"/>
      <c r="BU338" s="373"/>
      <c r="BV338" s="373"/>
      <c r="BW338" s="9"/>
      <c r="BZ338" s="10"/>
      <c r="CA338" s="10"/>
    </row>
    <row r="339" spans="4:79" x14ac:dyDescent="0.2">
      <c r="D339" s="9" t="s">
        <v>371</v>
      </c>
      <c r="G339" s="1">
        <v>0</v>
      </c>
      <c r="I339" s="373"/>
      <c r="J339" s="374"/>
      <c r="K339" s="373"/>
      <c r="L339" s="373">
        <f>SUM(L340:L340)</f>
        <v>0</v>
      </c>
      <c r="M339" s="373"/>
      <c r="N339" s="373"/>
      <c r="O339" s="374"/>
      <c r="P339" s="373"/>
      <c r="Q339" s="373">
        <f>SUM(Q340:Q340)</f>
        <v>0</v>
      </c>
      <c r="R339" s="373"/>
      <c r="S339" s="373"/>
      <c r="T339" s="374"/>
      <c r="U339" s="373"/>
      <c r="V339" s="373">
        <f>SUM(V340:V340)</f>
        <v>0</v>
      </c>
      <c r="W339" s="373"/>
      <c r="X339" s="373"/>
      <c r="Y339" s="374"/>
      <c r="Z339" s="373"/>
      <c r="AA339" s="373">
        <f>SUM(AA340:AA340)</f>
        <v>0</v>
      </c>
      <c r="AB339" s="373"/>
      <c r="AC339" s="373"/>
      <c r="AD339" s="374"/>
      <c r="AE339" s="373"/>
      <c r="AF339" s="373">
        <f>SUM(AF340:AF340)</f>
        <v>0</v>
      </c>
      <c r="AG339" s="373"/>
      <c r="AH339" s="373"/>
      <c r="AI339" s="374"/>
      <c r="AJ339" s="373"/>
      <c r="AK339" s="373">
        <f>SUM(AK340:AK340)</f>
        <v>0</v>
      </c>
      <c r="AL339" s="373"/>
      <c r="AM339" s="373"/>
      <c r="AN339" s="374"/>
      <c r="AO339" s="373"/>
      <c r="AP339" s="373">
        <f>SUM(AP340:AP340)</f>
        <v>0</v>
      </c>
      <c r="AQ339" s="373"/>
      <c r="AR339" s="373"/>
      <c r="AS339" s="374"/>
      <c r="AT339" s="373"/>
      <c r="AU339" s="373">
        <f>SUM(AU340:AU340)</f>
        <v>0</v>
      </c>
      <c r="AV339" s="373"/>
      <c r="AW339" s="373"/>
      <c r="AX339" s="374"/>
      <c r="AY339" s="373"/>
      <c r="AZ339" s="373">
        <f>SUM(AZ340:AZ340)</f>
        <v>0</v>
      </c>
      <c r="BA339" s="373"/>
      <c r="BB339" s="373"/>
      <c r="BC339" s="374"/>
      <c r="BD339" s="373"/>
      <c r="BE339" s="373">
        <f>SUM(BE340:BE340)</f>
        <v>0</v>
      </c>
      <c r="BF339" s="373"/>
      <c r="BG339" s="373"/>
      <c r="BH339" s="374"/>
      <c r="BI339" s="373"/>
      <c r="BJ339" s="373">
        <f>SUM(BJ340:BJ340)</f>
        <v>0</v>
      </c>
      <c r="BK339" s="373"/>
      <c r="BL339" s="373"/>
      <c r="BM339" s="374"/>
      <c r="BN339" s="373"/>
      <c r="BO339" s="373">
        <f>SUM(BO340:BO340)</f>
        <v>0</v>
      </c>
      <c r="BP339" s="373"/>
      <c r="BQ339" s="373"/>
      <c r="BR339" s="374"/>
      <c r="BT339" s="373">
        <f>SUM(BT340:BT340)</f>
        <v>0</v>
      </c>
      <c r="BU339" s="373"/>
      <c r="BV339" s="373"/>
      <c r="BW339" s="9"/>
      <c r="BZ339" s="10"/>
      <c r="CA339" s="10"/>
    </row>
    <row r="340" spans="4:79" x14ac:dyDescent="0.2">
      <c r="D340" s="9" t="s">
        <v>343</v>
      </c>
      <c r="F340" s="378"/>
      <c r="G340" s="379">
        <v>0</v>
      </c>
      <c r="H340" s="380"/>
      <c r="I340" s="373"/>
      <c r="J340" s="374"/>
      <c r="K340" s="378"/>
      <c r="L340" s="379">
        <v>0</v>
      </c>
      <c r="M340" s="380"/>
      <c r="N340" s="373"/>
      <c r="O340" s="374"/>
      <c r="P340" s="378"/>
      <c r="Q340" s="379">
        <v>0</v>
      </c>
      <c r="R340" s="380"/>
      <c r="S340" s="373"/>
      <c r="T340" s="374"/>
      <c r="U340" s="378"/>
      <c r="V340" s="379">
        <v>0</v>
      </c>
      <c r="W340" s="380"/>
      <c r="X340" s="373"/>
      <c r="Y340" s="374"/>
      <c r="Z340" s="378"/>
      <c r="AA340" s="379">
        <v>0</v>
      </c>
      <c r="AB340" s="380"/>
      <c r="AC340" s="373"/>
      <c r="AD340" s="374"/>
      <c r="AE340" s="378"/>
      <c r="AF340" s="379">
        <v>0</v>
      </c>
      <c r="AG340" s="380"/>
      <c r="AH340" s="373"/>
      <c r="AI340" s="374"/>
      <c r="AJ340" s="378"/>
      <c r="AK340" s="379">
        <v>0</v>
      </c>
      <c r="AL340" s="380"/>
      <c r="AM340" s="373"/>
      <c r="AN340" s="374"/>
      <c r="AO340" s="378"/>
      <c r="AP340" s="379">
        <v>0</v>
      </c>
      <c r="AQ340" s="380"/>
      <c r="AR340" s="373"/>
      <c r="AS340" s="374"/>
      <c r="AT340" s="378"/>
      <c r="AU340" s="379">
        <v>0</v>
      </c>
      <c r="AV340" s="380"/>
      <c r="AW340" s="373"/>
      <c r="AX340" s="374"/>
      <c r="AY340" s="378"/>
      <c r="AZ340" s="379">
        <v>0</v>
      </c>
      <c r="BA340" s="380"/>
      <c r="BB340" s="373"/>
      <c r="BC340" s="374"/>
      <c r="BD340" s="378"/>
      <c r="BE340" s="379">
        <v>0</v>
      </c>
      <c r="BF340" s="380"/>
      <c r="BG340" s="373"/>
      <c r="BH340" s="374"/>
      <c r="BI340" s="378"/>
      <c r="BJ340" s="379">
        <v>0</v>
      </c>
      <c r="BK340" s="380"/>
      <c r="BL340" s="373"/>
      <c r="BM340" s="374"/>
      <c r="BN340" s="378"/>
      <c r="BO340" s="379">
        <v>0</v>
      </c>
      <c r="BP340" s="380"/>
      <c r="BQ340" s="373"/>
      <c r="BR340" s="374"/>
      <c r="BS340" s="378"/>
      <c r="BT340" s="379">
        <f>SUM(L340:BO340)</f>
        <v>0</v>
      </c>
      <c r="BU340" s="380"/>
      <c r="BV340" s="373"/>
      <c r="BW340" s="9"/>
      <c r="BZ340" s="10"/>
      <c r="CA340" s="10"/>
    </row>
    <row r="341" spans="4:79" x14ac:dyDescent="0.2">
      <c r="D341" s="389"/>
      <c r="E341" s="390"/>
      <c r="F341" s="3"/>
      <c r="G341" s="391"/>
      <c r="H341" s="391"/>
      <c r="I341" s="391"/>
      <c r="J341" s="392"/>
      <c r="K341" s="391"/>
      <c r="L341" s="391"/>
      <c r="M341" s="391"/>
      <c r="N341" s="391"/>
      <c r="O341" s="392"/>
      <c r="P341" s="391"/>
      <c r="Q341" s="391"/>
      <c r="R341" s="391"/>
      <c r="S341" s="391"/>
      <c r="T341" s="392"/>
      <c r="U341" s="391"/>
      <c r="V341" s="391"/>
      <c r="W341" s="391"/>
      <c r="X341" s="391"/>
      <c r="Y341" s="392"/>
      <c r="Z341" s="391"/>
      <c r="AA341" s="391"/>
      <c r="AB341" s="391"/>
      <c r="AC341" s="391"/>
      <c r="AD341" s="392"/>
      <c r="AE341" s="391"/>
      <c r="AF341" s="391"/>
      <c r="AG341" s="391"/>
      <c r="AH341" s="391"/>
      <c r="AI341" s="392"/>
      <c r="AJ341" s="391"/>
      <c r="AK341" s="391"/>
      <c r="AL341" s="391"/>
      <c r="AM341" s="391"/>
      <c r="AN341" s="392"/>
      <c r="AO341" s="391"/>
      <c r="AP341" s="391"/>
      <c r="AQ341" s="391"/>
      <c r="AR341" s="391"/>
      <c r="AS341" s="392"/>
      <c r="AT341" s="391"/>
      <c r="AU341" s="391"/>
      <c r="AV341" s="391"/>
      <c r="AW341" s="391"/>
      <c r="AX341" s="392"/>
      <c r="AY341" s="391"/>
      <c r="AZ341" s="391"/>
      <c r="BA341" s="391"/>
      <c r="BB341" s="391"/>
      <c r="BC341" s="392"/>
      <c r="BD341" s="391"/>
      <c r="BE341" s="391"/>
      <c r="BF341" s="391"/>
      <c r="BG341" s="391"/>
      <c r="BH341" s="392"/>
      <c r="BI341" s="391"/>
      <c r="BJ341" s="391"/>
      <c r="BK341" s="391"/>
      <c r="BL341" s="391"/>
      <c r="BM341" s="392"/>
      <c r="BN341" s="391"/>
      <c r="BO341" s="391"/>
      <c r="BP341" s="391"/>
      <c r="BQ341" s="391"/>
      <c r="BR341" s="392"/>
      <c r="BS341" s="391"/>
      <c r="BT341" s="391"/>
      <c r="BU341" s="391"/>
      <c r="BV341" s="391"/>
      <c r="BW341" s="9"/>
      <c r="BZ341" s="10"/>
      <c r="CA341" s="10"/>
    </row>
    <row r="342" spans="4:79" x14ac:dyDescent="0.2">
      <c r="E342" s="5"/>
      <c r="G342" s="373"/>
      <c r="H342" s="373"/>
      <c r="I342" s="373"/>
      <c r="J342" s="373"/>
      <c r="K342" s="373"/>
      <c r="L342" s="373"/>
      <c r="M342" s="373"/>
      <c r="N342" s="373"/>
      <c r="O342" s="373"/>
      <c r="P342" s="373"/>
      <c r="Q342" s="373"/>
      <c r="R342" s="373"/>
      <c r="S342" s="373"/>
      <c r="T342" s="373"/>
      <c r="U342" s="373"/>
      <c r="V342" s="373"/>
      <c r="W342" s="373"/>
      <c r="X342" s="373"/>
      <c r="Y342" s="373"/>
      <c r="Z342" s="373"/>
      <c r="AA342" s="373"/>
      <c r="AB342" s="373"/>
      <c r="AC342" s="373"/>
      <c r="AD342" s="373"/>
      <c r="AE342" s="373"/>
      <c r="AF342" s="373"/>
      <c r="AG342" s="373"/>
      <c r="AH342" s="373"/>
      <c r="AI342" s="373"/>
      <c r="AJ342" s="373"/>
      <c r="AK342" s="373"/>
      <c r="AL342" s="373"/>
      <c r="AM342" s="373"/>
      <c r="AN342" s="373"/>
      <c r="AO342" s="373"/>
      <c r="AP342" s="373"/>
      <c r="AQ342" s="373"/>
      <c r="AR342" s="373"/>
      <c r="AS342" s="373"/>
      <c r="AT342" s="373"/>
      <c r="AU342" s="373"/>
      <c r="AV342" s="373"/>
      <c r="AW342" s="373"/>
      <c r="AX342" s="373"/>
      <c r="AY342" s="373"/>
      <c r="AZ342" s="373"/>
      <c r="BA342" s="373"/>
      <c r="BB342" s="373"/>
      <c r="BC342" s="373"/>
      <c r="BD342" s="373"/>
      <c r="BE342" s="373"/>
      <c r="BF342" s="373"/>
      <c r="BG342" s="373"/>
      <c r="BH342" s="373"/>
      <c r="BI342" s="373"/>
      <c r="BJ342" s="373"/>
      <c r="BK342" s="373"/>
      <c r="BL342" s="373"/>
      <c r="BM342" s="373"/>
      <c r="BN342" s="373"/>
      <c r="BO342" s="373"/>
      <c r="BP342" s="373"/>
      <c r="BQ342" s="373"/>
      <c r="BR342" s="373"/>
      <c r="BS342" s="373"/>
      <c r="BT342" s="373"/>
      <c r="BU342" s="373"/>
      <c r="BV342" s="373"/>
    </row>
    <row r="343" spans="4:79" x14ac:dyDescent="0.2">
      <c r="E343" s="1"/>
    </row>
    <row r="344" spans="4:79" x14ac:dyDescent="0.2">
      <c r="E344" s="1"/>
    </row>
    <row r="345" spans="4:79" x14ac:dyDescent="0.2">
      <c r="E345" s="1"/>
    </row>
    <row r="346" spans="4:79" x14ac:dyDescent="0.2">
      <c r="E346" s="1"/>
    </row>
    <row r="347" spans="4:79" x14ac:dyDescent="0.2">
      <c r="E347" s="1"/>
    </row>
    <row r="348" spans="4:79" x14ac:dyDescent="0.2">
      <c r="E348" s="1"/>
    </row>
    <row r="349" spans="4:79" x14ac:dyDescent="0.2">
      <c r="E349" s="1"/>
    </row>
    <row r="350" spans="4:79" x14ac:dyDescent="0.2">
      <c r="E350" s="1"/>
    </row>
  </sheetData>
  <pageMargins left="0.7" right="0.7" top="0.75" bottom="0.75" header="0.3" footer="0.3"/>
  <pageSetup paperSize="9" scale="27" orientation="portrait" r:id="rId1"/>
  <rowBreaks count="1" manualBreakCount="1">
    <brk id="177" max="14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1:EI160"/>
  <sheetViews>
    <sheetView view="pageBreakPreview" topLeftCell="AF77" zoomScale="120" zoomScaleNormal="100" zoomScaleSheetLayoutView="120" workbookViewId="0">
      <selection activeCell="BG88" sqref="BG88"/>
    </sheetView>
  </sheetViews>
  <sheetFormatPr defaultColWidth="10" defaultRowHeight="12.75" x14ac:dyDescent="0.2"/>
  <cols>
    <col min="1" max="1" width="1.85546875" style="1" customWidth="1"/>
    <col min="2" max="3" width="1" style="1" customWidth="1"/>
    <col min="4" max="4" width="34" style="1" customWidth="1"/>
    <col min="5" max="6" width="1" style="1" customWidth="1"/>
    <col min="7" max="7" width="17.85546875" style="1" customWidth="1"/>
    <col min="8" max="11" width="1" style="1" customWidth="1"/>
    <col min="12" max="12" width="17.85546875" style="1" customWidth="1"/>
    <col min="13" max="16" width="1" style="1" customWidth="1"/>
    <col min="17" max="17" width="17.85546875" style="1" customWidth="1"/>
    <col min="18" max="21" width="1" style="1" customWidth="1"/>
    <col min="22" max="22" width="17.85546875" style="1" customWidth="1"/>
    <col min="23" max="26" width="1" style="1" customWidth="1"/>
    <col min="27" max="27" width="17.85546875" style="1" customWidth="1"/>
    <col min="28" max="31" width="1" style="1" customWidth="1"/>
    <col min="32" max="32" width="17.85546875" style="1" customWidth="1"/>
    <col min="33" max="36" width="1" style="1" customWidth="1"/>
    <col min="37" max="37" width="17.85546875" style="1" customWidth="1"/>
    <col min="38" max="41" width="1" style="1" customWidth="1"/>
    <col min="42" max="42" width="17.85546875" style="1" customWidth="1"/>
    <col min="43" max="46" width="1" style="1" customWidth="1"/>
    <col min="47" max="47" width="17.85546875" style="1" customWidth="1"/>
    <col min="48" max="51" width="1" style="1" customWidth="1"/>
    <col min="52" max="52" width="17.85546875" style="1" customWidth="1"/>
    <col min="53" max="56" width="1" style="1" customWidth="1"/>
    <col min="57" max="57" width="17.85546875" style="1" customWidth="1"/>
    <col min="58" max="59" width="1" style="1" customWidth="1"/>
    <col min="60" max="61" width="1" style="1" hidden="1" customWidth="1"/>
    <col min="62" max="62" width="17.85546875" style="1" hidden="1" customWidth="1"/>
    <col min="63" max="66" width="1" style="1" hidden="1" customWidth="1"/>
    <col min="67" max="67" width="17.85546875" style="1" hidden="1" customWidth="1"/>
    <col min="68" max="69" width="1" style="1" hidden="1" customWidth="1"/>
    <col min="70" max="71" width="1" style="1" customWidth="1"/>
    <col min="72" max="72" width="17.85546875" style="1" customWidth="1"/>
    <col min="73" max="74" width="1" style="1" customWidth="1"/>
    <col min="75" max="75" width="3.140625" style="1" customWidth="1"/>
    <col min="76" max="76" width="17.42578125" style="1" customWidth="1"/>
    <col min="77" max="77" width="12.28515625" style="1" customWidth="1"/>
    <col min="78" max="186" width="10" style="1"/>
    <col min="187" max="187" width="1.85546875" style="1" customWidth="1"/>
    <col min="188" max="189" width="1" style="1" customWidth="1"/>
    <col min="190" max="190" width="34" style="1" customWidth="1"/>
    <col min="191" max="192" width="1" style="1" customWidth="1"/>
    <col min="193" max="193" width="17.85546875" style="1" customWidth="1"/>
    <col min="194" max="195" width="1" style="1" customWidth="1"/>
    <col min="196" max="240" width="0" style="1" hidden="1" customWidth="1"/>
    <col min="241" max="242" width="1" style="1" customWidth="1"/>
    <col min="243" max="243" width="17.85546875" style="1" customWidth="1"/>
    <col min="244" max="245" width="1" style="1" customWidth="1"/>
    <col min="246" max="255" width="0" style="1" hidden="1" customWidth="1"/>
    <col min="256" max="257" width="1" style="1" customWidth="1"/>
    <col min="258" max="258" width="17.85546875" style="1" customWidth="1"/>
    <col min="259" max="262" width="1" style="1" customWidth="1"/>
    <col min="263" max="263" width="17.85546875" style="1" customWidth="1"/>
    <col min="264" max="265" width="1" style="1" customWidth="1"/>
    <col min="266" max="310" width="0" style="1" hidden="1" customWidth="1"/>
    <col min="311" max="312" width="1" style="1" customWidth="1"/>
    <col min="313" max="313" width="17.85546875" style="1" customWidth="1"/>
    <col min="314" max="315" width="1" style="1" customWidth="1"/>
    <col min="316" max="325" width="0" style="1" hidden="1" customWidth="1"/>
    <col min="326" max="327" width="1" style="1" customWidth="1"/>
    <col min="328" max="328" width="17.85546875" style="1" customWidth="1"/>
    <col min="329" max="329" width="1" style="1" customWidth="1"/>
    <col min="330" max="330" width="2" style="1" customWidth="1"/>
    <col min="331" max="331" width="6.42578125" style="1" customWidth="1"/>
    <col min="332" max="332" width="17.42578125" style="1" customWidth="1"/>
    <col min="333" max="333" width="12.28515625" style="1" customWidth="1"/>
    <col min="334" max="442" width="10" style="1"/>
    <col min="443" max="443" width="1.85546875" style="1" customWidth="1"/>
    <col min="444" max="445" width="1" style="1" customWidth="1"/>
    <col min="446" max="446" width="34" style="1" customWidth="1"/>
    <col min="447" max="448" width="1" style="1" customWidth="1"/>
    <col min="449" max="449" width="17.85546875" style="1" customWidth="1"/>
    <col min="450" max="451" width="1" style="1" customWidth="1"/>
    <col min="452" max="496" width="0" style="1" hidden="1" customWidth="1"/>
    <col min="497" max="498" width="1" style="1" customWidth="1"/>
    <col min="499" max="499" width="17.85546875" style="1" customWidth="1"/>
    <col min="500" max="501" width="1" style="1" customWidth="1"/>
    <col min="502" max="511" width="0" style="1" hidden="1" customWidth="1"/>
    <col min="512" max="513" width="1" style="1" customWidth="1"/>
    <col min="514" max="514" width="17.85546875" style="1" customWidth="1"/>
    <col min="515" max="518" width="1" style="1" customWidth="1"/>
    <col min="519" max="519" width="17.85546875" style="1" customWidth="1"/>
    <col min="520" max="521" width="1" style="1" customWidth="1"/>
    <col min="522" max="566" width="0" style="1" hidden="1" customWidth="1"/>
    <col min="567" max="568" width="1" style="1" customWidth="1"/>
    <col min="569" max="569" width="17.85546875" style="1" customWidth="1"/>
    <col min="570" max="571" width="1" style="1" customWidth="1"/>
    <col min="572" max="581" width="0" style="1" hidden="1" customWidth="1"/>
    <col min="582" max="583" width="1" style="1" customWidth="1"/>
    <col min="584" max="584" width="17.85546875" style="1" customWidth="1"/>
    <col min="585" max="585" width="1" style="1" customWidth="1"/>
    <col min="586" max="586" width="2" style="1" customWidth="1"/>
    <col min="587" max="587" width="6.42578125" style="1" customWidth="1"/>
    <col min="588" max="588" width="17.42578125" style="1" customWidth="1"/>
    <col min="589" max="589" width="12.28515625" style="1" customWidth="1"/>
    <col min="590" max="698" width="10" style="1"/>
    <col min="699" max="699" width="1.85546875" style="1" customWidth="1"/>
    <col min="700" max="701" width="1" style="1" customWidth="1"/>
    <col min="702" max="702" width="34" style="1" customWidth="1"/>
    <col min="703" max="704" width="1" style="1" customWidth="1"/>
    <col min="705" max="705" width="17.85546875" style="1" customWidth="1"/>
    <col min="706" max="707" width="1" style="1" customWidth="1"/>
    <col min="708" max="752" width="0" style="1" hidden="1" customWidth="1"/>
    <col min="753" max="754" width="1" style="1" customWidth="1"/>
    <col min="755" max="755" width="17.85546875" style="1" customWidth="1"/>
    <col min="756" max="757" width="1" style="1" customWidth="1"/>
    <col min="758" max="767" width="0" style="1" hidden="1" customWidth="1"/>
    <col min="768" max="769" width="1" style="1" customWidth="1"/>
    <col min="770" max="770" width="17.85546875" style="1" customWidth="1"/>
    <col min="771" max="774" width="1" style="1" customWidth="1"/>
    <col min="775" max="775" width="17.85546875" style="1" customWidth="1"/>
    <col min="776" max="777" width="1" style="1" customWidth="1"/>
    <col min="778" max="822" width="0" style="1" hidden="1" customWidth="1"/>
    <col min="823" max="824" width="1" style="1" customWidth="1"/>
    <col min="825" max="825" width="17.85546875" style="1" customWidth="1"/>
    <col min="826" max="827" width="1" style="1" customWidth="1"/>
    <col min="828" max="837" width="0" style="1" hidden="1" customWidth="1"/>
    <col min="838" max="839" width="1" style="1" customWidth="1"/>
    <col min="840" max="840" width="17.85546875" style="1" customWidth="1"/>
    <col min="841" max="841" width="1" style="1" customWidth="1"/>
    <col min="842" max="842" width="2" style="1" customWidth="1"/>
    <col min="843" max="843" width="6.42578125" style="1" customWidth="1"/>
    <col min="844" max="844" width="17.42578125" style="1" customWidth="1"/>
    <col min="845" max="845" width="12.28515625" style="1" customWidth="1"/>
    <col min="846" max="954" width="10" style="1"/>
    <col min="955" max="955" width="1.85546875" style="1" customWidth="1"/>
    <col min="956" max="957" width="1" style="1" customWidth="1"/>
    <col min="958" max="958" width="34" style="1" customWidth="1"/>
    <col min="959" max="960" width="1" style="1" customWidth="1"/>
    <col min="961" max="961" width="17.85546875" style="1" customWidth="1"/>
    <col min="962" max="963" width="1" style="1" customWidth="1"/>
    <col min="964" max="1008" width="0" style="1" hidden="1" customWidth="1"/>
    <col min="1009" max="1010" width="1" style="1" customWidth="1"/>
    <col min="1011" max="1011" width="17.85546875" style="1" customWidth="1"/>
    <col min="1012" max="1013" width="1" style="1" customWidth="1"/>
    <col min="1014" max="1023" width="0" style="1" hidden="1" customWidth="1"/>
    <col min="1024" max="1025" width="1" style="1" customWidth="1"/>
    <col min="1026" max="1026" width="17.85546875" style="1" customWidth="1"/>
    <col min="1027" max="1030" width="1" style="1" customWidth="1"/>
    <col min="1031" max="1031" width="17.85546875" style="1" customWidth="1"/>
    <col min="1032" max="1033" width="1" style="1" customWidth="1"/>
    <col min="1034" max="1078" width="0" style="1" hidden="1" customWidth="1"/>
    <col min="1079" max="1080" width="1" style="1" customWidth="1"/>
    <col min="1081" max="1081" width="17.85546875" style="1" customWidth="1"/>
    <col min="1082" max="1083" width="1" style="1" customWidth="1"/>
    <col min="1084" max="1093" width="0" style="1" hidden="1" customWidth="1"/>
    <col min="1094" max="1095" width="1" style="1" customWidth="1"/>
    <col min="1096" max="1096" width="17.85546875" style="1" customWidth="1"/>
    <col min="1097" max="1097" width="1" style="1" customWidth="1"/>
    <col min="1098" max="1098" width="2" style="1" customWidth="1"/>
    <col min="1099" max="1099" width="6.42578125" style="1" customWidth="1"/>
    <col min="1100" max="1100" width="17.42578125" style="1" customWidth="1"/>
    <col min="1101" max="1101" width="12.28515625" style="1" customWidth="1"/>
    <col min="1102" max="1210" width="10" style="1"/>
    <col min="1211" max="1211" width="1.85546875" style="1" customWidth="1"/>
    <col min="1212" max="1213" width="1" style="1" customWidth="1"/>
    <col min="1214" max="1214" width="34" style="1" customWidth="1"/>
    <col min="1215" max="1216" width="1" style="1" customWidth="1"/>
    <col min="1217" max="1217" width="17.85546875" style="1" customWidth="1"/>
    <col min="1218" max="1219" width="1" style="1" customWidth="1"/>
    <col min="1220" max="1264" width="0" style="1" hidden="1" customWidth="1"/>
    <col min="1265" max="1266" width="1" style="1" customWidth="1"/>
    <col min="1267" max="1267" width="17.85546875" style="1" customWidth="1"/>
    <col min="1268" max="1269" width="1" style="1" customWidth="1"/>
    <col min="1270" max="1279" width="0" style="1" hidden="1" customWidth="1"/>
    <col min="1280" max="1281" width="1" style="1" customWidth="1"/>
    <col min="1282" max="1282" width="17.85546875" style="1" customWidth="1"/>
    <col min="1283" max="1286" width="1" style="1" customWidth="1"/>
    <col min="1287" max="1287" width="17.85546875" style="1" customWidth="1"/>
    <col min="1288" max="1289" width="1" style="1" customWidth="1"/>
    <col min="1290" max="1334" width="0" style="1" hidden="1" customWidth="1"/>
    <col min="1335" max="1336" width="1" style="1" customWidth="1"/>
    <col min="1337" max="1337" width="17.85546875" style="1" customWidth="1"/>
    <col min="1338" max="1339" width="1" style="1" customWidth="1"/>
    <col min="1340" max="1349" width="0" style="1" hidden="1" customWidth="1"/>
    <col min="1350" max="1351" width="1" style="1" customWidth="1"/>
    <col min="1352" max="1352" width="17.85546875" style="1" customWidth="1"/>
    <col min="1353" max="1353" width="1" style="1" customWidth="1"/>
    <col min="1354" max="1354" width="2" style="1" customWidth="1"/>
    <col min="1355" max="1355" width="6.42578125" style="1" customWidth="1"/>
    <col min="1356" max="1356" width="17.42578125" style="1" customWidth="1"/>
    <col min="1357" max="1357" width="12.28515625" style="1" customWidth="1"/>
    <col min="1358" max="1466" width="10" style="1"/>
    <col min="1467" max="1467" width="1.85546875" style="1" customWidth="1"/>
    <col min="1468" max="1469" width="1" style="1" customWidth="1"/>
    <col min="1470" max="1470" width="34" style="1" customWidth="1"/>
    <col min="1471" max="1472" width="1" style="1" customWidth="1"/>
    <col min="1473" max="1473" width="17.85546875" style="1" customWidth="1"/>
    <col min="1474" max="1475" width="1" style="1" customWidth="1"/>
    <col min="1476" max="1520" width="0" style="1" hidden="1" customWidth="1"/>
    <col min="1521" max="1522" width="1" style="1" customWidth="1"/>
    <col min="1523" max="1523" width="17.85546875" style="1" customWidth="1"/>
    <col min="1524" max="1525" width="1" style="1" customWidth="1"/>
    <col min="1526" max="1535" width="0" style="1" hidden="1" customWidth="1"/>
    <col min="1536" max="1537" width="1" style="1" customWidth="1"/>
    <col min="1538" max="1538" width="17.85546875" style="1" customWidth="1"/>
    <col min="1539" max="1542" width="1" style="1" customWidth="1"/>
    <col min="1543" max="1543" width="17.85546875" style="1" customWidth="1"/>
    <col min="1544" max="1545" width="1" style="1" customWidth="1"/>
    <col min="1546" max="1590" width="0" style="1" hidden="1" customWidth="1"/>
    <col min="1591" max="1592" width="1" style="1" customWidth="1"/>
    <col min="1593" max="1593" width="17.85546875" style="1" customWidth="1"/>
    <col min="1594" max="1595" width="1" style="1" customWidth="1"/>
    <col min="1596" max="1605" width="0" style="1" hidden="1" customWidth="1"/>
    <col min="1606" max="1607" width="1" style="1" customWidth="1"/>
    <col min="1608" max="1608" width="17.85546875" style="1" customWidth="1"/>
    <col min="1609" max="1609" width="1" style="1" customWidth="1"/>
    <col min="1610" max="1610" width="2" style="1" customWidth="1"/>
    <col min="1611" max="1611" width="6.42578125" style="1" customWidth="1"/>
    <col min="1612" max="1612" width="17.42578125" style="1" customWidth="1"/>
    <col min="1613" max="1613" width="12.28515625" style="1" customWidth="1"/>
    <col min="1614" max="1722" width="10" style="1"/>
    <col min="1723" max="1723" width="1.85546875" style="1" customWidth="1"/>
    <col min="1724" max="1725" width="1" style="1" customWidth="1"/>
    <col min="1726" max="1726" width="34" style="1" customWidth="1"/>
    <col min="1727" max="1728" width="1" style="1" customWidth="1"/>
    <col min="1729" max="1729" width="17.85546875" style="1" customWidth="1"/>
    <col min="1730" max="1731" width="1" style="1" customWidth="1"/>
    <col min="1732" max="1776" width="0" style="1" hidden="1" customWidth="1"/>
    <col min="1777" max="1778" width="1" style="1" customWidth="1"/>
    <col min="1779" max="1779" width="17.85546875" style="1" customWidth="1"/>
    <col min="1780" max="1781" width="1" style="1" customWidth="1"/>
    <col min="1782" max="1791" width="0" style="1" hidden="1" customWidth="1"/>
    <col min="1792" max="1793" width="1" style="1" customWidth="1"/>
    <col min="1794" max="1794" width="17.85546875" style="1" customWidth="1"/>
    <col min="1795" max="1798" width="1" style="1" customWidth="1"/>
    <col min="1799" max="1799" width="17.85546875" style="1" customWidth="1"/>
    <col min="1800" max="1801" width="1" style="1" customWidth="1"/>
    <col min="1802" max="1846" width="0" style="1" hidden="1" customWidth="1"/>
    <col min="1847" max="1848" width="1" style="1" customWidth="1"/>
    <col min="1849" max="1849" width="17.85546875" style="1" customWidth="1"/>
    <col min="1850" max="1851" width="1" style="1" customWidth="1"/>
    <col min="1852" max="1861" width="0" style="1" hidden="1" customWidth="1"/>
    <col min="1862" max="1863" width="1" style="1" customWidth="1"/>
    <col min="1864" max="1864" width="17.85546875" style="1" customWidth="1"/>
    <col min="1865" max="1865" width="1" style="1" customWidth="1"/>
    <col min="1866" max="1866" width="2" style="1" customWidth="1"/>
    <col min="1867" max="1867" width="6.42578125" style="1" customWidth="1"/>
    <col min="1868" max="1868" width="17.42578125" style="1" customWidth="1"/>
    <col min="1869" max="1869" width="12.28515625" style="1" customWidth="1"/>
    <col min="1870" max="1978" width="10" style="1"/>
    <col min="1979" max="1979" width="1.85546875" style="1" customWidth="1"/>
    <col min="1980" max="1981" width="1" style="1" customWidth="1"/>
    <col min="1982" max="1982" width="34" style="1" customWidth="1"/>
    <col min="1983" max="1984" width="1" style="1" customWidth="1"/>
    <col min="1985" max="1985" width="17.85546875" style="1" customWidth="1"/>
    <col min="1986" max="1987" width="1" style="1" customWidth="1"/>
    <col min="1988" max="2032" width="0" style="1" hidden="1" customWidth="1"/>
    <col min="2033" max="2034" width="1" style="1" customWidth="1"/>
    <col min="2035" max="2035" width="17.85546875" style="1" customWidth="1"/>
    <col min="2036" max="2037" width="1" style="1" customWidth="1"/>
    <col min="2038" max="2047" width="0" style="1" hidden="1" customWidth="1"/>
    <col min="2048" max="2049" width="1" style="1" customWidth="1"/>
    <col min="2050" max="2050" width="17.85546875" style="1" customWidth="1"/>
    <col min="2051" max="2054" width="1" style="1" customWidth="1"/>
    <col min="2055" max="2055" width="17.85546875" style="1" customWidth="1"/>
    <col min="2056" max="2057" width="1" style="1" customWidth="1"/>
    <col min="2058" max="2102" width="0" style="1" hidden="1" customWidth="1"/>
    <col min="2103" max="2104" width="1" style="1" customWidth="1"/>
    <col min="2105" max="2105" width="17.85546875" style="1" customWidth="1"/>
    <col min="2106" max="2107" width="1" style="1" customWidth="1"/>
    <col min="2108" max="2117" width="0" style="1" hidden="1" customWidth="1"/>
    <col min="2118" max="2119" width="1" style="1" customWidth="1"/>
    <col min="2120" max="2120" width="17.85546875" style="1" customWidth="1"/>
    <col min="2121" max="2121" width="1" style="1" customWidth="1"/>
    <col min="2122" max="2122" width="2" style="1" customWidth="1"/>
    <col min="2123" max="2123" width="6.42578125" style="1" customWidth="1"/>
    <col min="2124" max="2124" width="17.42578125" style="1" customWidth="1"/>
    <col min="2125" max="2125" width="12.28515625" style="1" customWidth="1"/>
    <col min="2126" max="2234" width="10" style="1"/>
    <col min="2235" max="2235" width="1.85546875" style="1" customWidth="1"/>
    <col min="2236" max="2237" width="1" style="1" customWidth="1"/>
    <col min="2238" max="2238" width="34" style="1" customWidth="1"/>
    <col min="2239" max="2240" width="1" style="1" customWidth="1"/>
    <col min="2241" max="2241" width="17.85546875" style="1" customWidth="1"/>
    <col min="2242" max="2243" width="1" style="1" customWidth="1"/>
    <col min="2244" max="2288" width="0" style="1" hidden="1" customWidth="1"/>
    <col min="2289" max="2290" width="1" style="1" customWidth="1"/>
    <col min="2291" max="2291" width="17.85546875" style="1" customWidth="1"/>
    <col min="2292" max="2293" width="1" style="1" customWidth="1"/>
    <col min="2294" max="2303" width="0" style="1" hidden="1" customWidth="1"/>
    <col min="2304" max="2305" width="1" style="1" customWidth="1"/>
    <col min="2306" max="2306" width="17.85546875" style="1" customWidth="1"/>
    <col min="2307" max="2310" width="1" style="1" customWidth="1"/>
    <col min="2311" max="2311" width="17.85546875" style="1" customWidth="1"/>
    <col min="2312" max="2313" width="1" style="1" customWidth="1"/>
    <col min="2314" max="2358" width="0" style="1" hidden="1" customWidth="1"/>
    <col min="2359" max="2360" width="1" style="1" customWidth="1"/>
    <col min="2361" max="2361" width="17.85546875" style="1" customWidth="1"/>
    <col min="2362" max="2363" width="1" style="1" customWidth="1"/>
    <col min="2364" max="2373" width="0" style="1" hidden="1" customWidth="1"/>
    <col min="2374" max="2375" width="1" style="1" customWidth="1"/>
    <col min="2376" max="2376" width="17.85546875" style="1" customWidth="1"/>
    <col min="2377" max="2377" width="1" style="1" customWidth="1"/>
    <col min="2378" max="2378" width="2" style="1" customWidth="1"/>
    <col min="2379" max="2379" width="6.42578125" style="1" customWidth="1"/>
    <col min="2380" max="2380" width="17.42578125" style="1" customWidth="1"/>
    <col min="2381" max="2381" width="12.28515625" style="1" customWidth="1"/>
    <col min="2382" max="2490" width="10" style="1"/>
    <col min="2491" max="2491" width="1.85546875" style="1" customWidth="1"/>
    <col min="2492" max="2493" width="1" style="1" customWidth="1"/>
    <col min="2494" max="2494" width="34" style="1" customWidth="1"/>
    <col min="2495" max="2496" width="1" style="1" customWidth="1"/>
    <col min="2497" max="2497" width="17.85546875" style="1" customWidth="1"/>
    <col min="2498" max="2499" width="1" style="1" customWidth="1"/>
    <col min="2500" max="2544" width="0" style="1" hidden="1" customWidth="1"/>
    <col min="2545" max="2546" width="1" style="1" customWidth="1"/>
    <col min="2547" max="2547" width="17.85546875" style="1" customWidth="1"/>
    <col min="2548" max="2549" width="1" style="1" customWidth="1"/>
    <col min="2550" max="2559" width="0" style="1" hidden="1" customWidth="1"/>
    <col min="2560" max="2561" width="1" style="1" customWidth="1"/>
    <col min="2562" max="2562" width="17.85546875" style="1" customWidth="1"/>
    <col min="2563" max="2566" width="1" style="1" customWidth="1"/>
    <col min="2567" max="2567" width="17.85546875" style="1" customWidth="1"/>
    <col min="2568" max="2569" width="1" style="1" customWidth="1"/>
    <col min="2570" max="2614" width="0" style="1" hidden="1" customWidth="1"/>
    <col min="2615" max="2616" width="1" style="1" customWidth="1"/>
    <col min="2617" max="2617" width="17.85546875" style="1" customWidth="1"/>
    <col min="2618" max="2619" width="1" style="1" customWidth="1"/>
    <col min="2620" max="2629" width="0" style="1" hidden="1" customWidth="1"/>
    <col min="2630" max="2631" width="1" style="1" customWidth="1"/>
    <col min="2632" max="2632" width="17.85546875" style="1" customWidth="1"/>
    <col min="2633" max="2633" width="1" style="1" customWidth="1"/>
    <col min="2634" max="2634" width="2" style="1" customWidth="1"/>
    <col min="2635" max="2635" width="6.42578125" style="1" customWidth="1"/>
    <col min="2636" max="2636" width="17.42578125" style="1" customWidth="1"/>
    <col min="2637" max="2637" width="12.28515625" style="1" customWidth="1"/>
    <col min="2638" max="2746" width="10" style="1"/>
    <col min="2747" max="2747" width="1.85546875" style="1" customWidth="1"/>
    <col min="2748" max="2749" width="1" style="1" customWidth="1"/>
    <col min="2750" max="2750" width="34" style="1" customWidth="1"/>
    <col min="2751" max="2752" width="1" style="1" customWidth="1"/>
    <col min="2753" max="2753" width="17.85546875" style="1" customWidth="1"/>
    <col min="2754" max="2755" width="1" style="1" customWidth="1"/>
    <col min="2756" max="2800" width="0" style="1" hidden="1" customWidth="1"/>
    <col min="2801" max="2802" width="1" style="1" customWidth="1"/>
    <col min="2803" max="2803" width="17.85546875" style="1" customWidth="1"/>
    <col min="2804" max="2805" width="1" style="1" customWidth="1"/>
    <col min="2806" max="2815" width="0" style="1" hidden="1" customWidth="1"/>
    <col min="2816" max="2817" width="1" style="1" customWidth="1"/>
    <col min="2818" max="2818" width="17.85546875" style="1" customWidth="1"/>
    <col min="2819" max="2822" width="1" style="1" customWidth="1"/>
    <col min="2823" max="2823" width="17.85546875" style="1" customWidth="1"/>
    <col min="2824" max="2825" width="1" style="1" customWidth="1"/>
    <col min="2826" max="2870" width="0" style="1" hidden="1" customWidth="1"/>
    <col min="2871" max="2872" width="1" style="1" customWidth="1"/>
    <col min="2873" max="2873" width="17.85546875" style="1" customWidth="1"/>
    <col min="2874" max="2875" width="1" style="1" customWidth="1"/>
    <col min="2876" max="2885" width="0" style="1" hidden="1" customWidth="1"/>
    <col min="2886" max="2887" width="1" style="1" customWidth="1"/>
    <col min="2888" max="2888" width="17.85546875" style="1" customWidth="1"/>
    <col min="2889" max="2889" width="1" style="1" customWidth="1"/>
    <col min="2890" max="2890" width="2" style="1" customWidth="1"/>
    <col min="2891" max="2891" width="6.42578125" style="1" customWidth="1"/>
    <col min="2892" max="2892" width="17.42578125" style="1" customWidth="1"/>
    <col min="2893" max="2893" width="12.28515625" style="1" customWidth="1"/>
    <col min="2894" max="3002" width="10" style="1"/>
    <col min="3003" max="3003" width="1.85546875" style="1" customWidth="1"/>
    <col min="3004" max="3005" width="1" style="1" customWidth="1"/>
    <col min="3006" max="3006" width="34" style="1" customWidth="1"/>
    <col min="3007" max="3008" width="1" style="1" customWidth="1"/>
    <col min="3009" max="3009" width="17.85546875" style="1" customWidth="1"/>
    <col min="3010" max="3011" width="1" style="1" customWidth="1"/>
    <col min="3012" max="3056" width="0" style="1" hidden="1" customWidth="1"/>
    <col min="3057" max="3058" width="1" style="1" customWidth="1"/>
    <col min="3059" max="3059" width="17.85546875" style="1" customWidth="1"/>
    <col min="3060" max="3061" width="1" style="1" customWidth="1"/>
    <col min="3062" max="3071" width="0" style="1" hidden="1" customWidth="1"/>
    <col min="3072" max="3073" width="1" style="1" customWidth="1"/>
    <col min="3074" max="3074" width="17.85546875" style="1" customWidth="1"/>
    <col min="3075" max="3078" width="1" style="1" customWidth="1"/>
    <col min="3079" max="3079" width="17.85546875" style="1" customWidth="1"/>
    <col min="3080" max="3081" width="1" style="1" customWidth="1"/>
    <col min="3082" max="3126" width="0" style="1" hidden="1" customWidth="1"/>
    <col min="3127" max="3128" width="1" style="1" customWidth="1"/>
    <col min="3129" max="3129" width="17.85546875" style="1" customWidth="1"/>
    <col min="3130" max="3131" width="1" style="1" customWidth="1"/>
    <col min="3132" max="3141" width="0" style="1" hidden="1" customWidth="1"/>
    <col min="3142" max="3143" width="1" style="1" customWidth="1"/>
    <col min="3144" max="3144" width="17.85546875" style="1" customWidth="1"/>
    <col min="3145" max="3145" width="1" style="1" customWidth="1"/>
    <col min="3146" max="3146" width="2" style="1" customWidth="1"/>
    <col min="3147" max="3147" width="6.42578125" style="1" customWidth="1"/>
    <col min="3148" max="3148" width="17.42578125" style="1" customWidth="1"/>
    <col min="3149" max="3149" width="12.28515625" style="1" customWidth="1"/>
    <col min="3150" max="3258" width="10" style="1"/>
    <col min="3259" max="3259" width="1.85546875" style="1" customWidth="1"/>
    <col min="3260" max="3261" width="1" style="1" customWidth="1"/>
    <col min="3262" max="3262" width="34" style="1" customWidth="1"/>
    <col min="3263" max="3264" width="1" style="1" customWidth="1"/>
    <col min="3265" max="3265" width="17.85546875" style="1" customWidth="1"/>
    <col min="3266" max="3267" width="1" style="1" customWidth="1"/>
    <col min="3268" max="3312" width="0" style="1" hidden="1" customWidth="1"/>
    <col min="3313" max="3314" width="1" style="1" customWidth="1"/>
    <col min="3315" max="3315" width="17.85546875" style="1" customWidth="1"/>
    <col min="3316" max="3317" width="1" style="1" customWidth="1"/>
    <col min="3318" max="3327" width="0" style="1" hidden="1" customWidth="1"/>
    <col min="3328" max="3329" width="1" style="1" customWidth="1"/>
    <col min="3330" max="3330" width="17.85546875" style="1" customWidth="1"/>
    <col min="3331" max="3334" width="1" style="1" customWidth="1"/>
    <col min="3335" max="3335" width="17.85546875" style="1" customWidth="1"/>
    <col min="3336" max="3337" width="1" style="1" customWidth="1"/>
    <col min="3338" max="3382" width="0" style="1" hidden="1" customWidth="1"/>
    <col min="3383" max="3384" width="1" style="1" customWidth="1"/>
    <col min="3385" max="3385" width="17.85546875" style="1" customWidth="1"/>
    <col min="3386" max="3387" width="1" style="1" customWidth="1"/>
    <col min="3388" max="3397" width="0" style="1" hidden="1" customWidth="1"/>
    <col min="3398" max="3399" width="1" style="1" customWidth="1"/>
    <col min="3400" max="3400" width="17.85546875" style="1" customWidth="1"/>
    <col min="3401" max="3401" width="1" style="1" customWidth="1"/>
    <col min="3402" max="3402" width="2" style="1" customWidth="1"/>
    <col min="3403" max="3403" width="6.42578125" style="1" customWidth="1"/>
    <col min="3404" max="3404" width="17.42578125" style="1" customWidth="1"/>
    <col min="3405" max="3405" width="12.28515625" style="1" customWidth="1"/>
    <col min="3406" max="3514" width="10" style="1"/>
    <col min="3515" max="3515" width="1.85546875" style="1" customWidth="1"/>
    <col min="3516" max="3517" width="1" style="1" customWidth="1"/>
    <col min="3518" max="3518" width="34" style="1" customWidth="1"/>
    <col min="3519" max="3520" width="1" style="1" customWidth="1"/>
    <col min="3521" max="3521" width="17.85546875" style="1" customWidth="1"/>
    <col min="3522" max="3523" width="1" style="1" customWidth="1"/>
    <col min="3524" max="3568" width="0" style="1" hidden="1" customWidth="1"/>
    <col min="3569" max="3570" width="1" style="1" customWidth="1"/>
    <col min="3571" max="3571" width="17.85546875" style="1" customWidth="1"/>
    <col min="3572" max="3573" width="1" style="1" customWidth="1"/>
    <col min="3574" max="3583" width="0" style="1" hidden="1" customWidth="1"/>
    <col min="3584" max="3585" width="1" style="1" customWidth="1"/>
    <col min="3586" max="3586" width="17.85546875" style="1" customWidth="1"/>
    <col min="3587" max="3590" width="1" style="1" customWidth="1"/>
    <col min="3591" max="3591" width="17.85546875" style="1" customWidth="1"/>
    <col min="3592" max="3593" width="1" style="1" customWidth="1"/>
    <col min="3594" max="3638" width="0" style="1" hidden="1" customWidth="1"/>
    <col min="3639" max="3640" width="1" style="1" customWidth="1"/>
    <col min="3641" max="3641" width="17.85546875" style="1" customWidth="1"/>
    <col min="3642" max="3643" width="1" style="1" customWidth="1"/>
    <col min="3644" max="3653" width="0" style="1" hidden="1" customWidth="1"/>
    <col min="3654" max="3655" width="1" style="1" customWidth="1"/>
    <col min="3656" max="3656" width="17.85546875" style="1" customWidth="1"/>
    <col min="3657" max="3657" width="1" style="1" customWidth="1"/>
    <col min="3658" max="3658" width="2" style="1" customWidth="1"/>
    <col min="3659" max="3659" width="6.42578125" style="1" customWidth="1"/>
    <col min="3660" max="3660" width="17.42578125" style="1" customWidth="1"/>
    <col min="3661" max="3661" width="12.28515625" style="1" customWidth="1"/>
    <col min="3662" max="3770" width="10" style="1"/>
    <col min="3771" max="3771" width="1.85546875" style="1" customWidth="1"/>
    <col min="3772" max="3773" width="1" style="1" customWidth="1"/>
    <col min="3774" max="3774" width="34" style="1" customWidth="1"/>
    <col min="3775" max="3776" width="1" style="1" customWidth="1"/>
    <col min="3777" max="3777" width="17.85546875" style="1" customWidth="1"/>
    <col min="3778" max="3779" width="1" style="1" customWidth="1"/>
    <col min="3780" max="3824" width="0" style="1" hidden="1" customWidth="1"/>
    <col min="3825" max="3826" width="1" style="1" customWidth="1"/>
    <col min="3827" max="3827" width="17.85546875" style="1" customWidth="1"/>
    <col min="3828" max="3829" width="1" style="1" customWidth="1"/>
    <col min="3830" max="3839" width="0" style="1" hidden="1" customWidth="1"/>
    <col min="3840" max="3841" width="1" style="1" customWidth="1"/>
    <col min="3842" max="3842" width="17.85546875" style="1" customWidth="1"/>
    <col min="3843" max="3846" width="1" style="1" customWidth="1"/>
    <col min="3847" max="3847" width="17.85546875" style="1" customWidth="1"/>
    <col min="3848" max="3849" width="1" style="1" customWidth="1"/>
    <col min="3850" max="3894" width="0" style="1" hidden="1" customWidth="1"/>
    <col min="3895" max="3896" width="1" style="1" customWidth="1"/>
    <col min="3897" max="3897" width="17.85546875" style="1" customWidth="1"/>
    <col min="3898" max="3899" width="1" style="1" customWidth="1"/>
    <col min="3900" max="3909" width="0" style="1" hidden="1" customWidth="1"/>
    <col min="3910" max="3911" width="1" style="1" customWidth="1"/>
    <col min="3912" max="3912" width="17.85546875" style="1" customWidth="1"/>
    <col min="3913" max="3913" width="1" style="1" customWidth="1"/>
    <col min="3914" max="3914" width="2" style="1" customWidth="1"/>
    <col min="3915" max="3915" width="6.42578125" style="1" customWidth="1"/>
    <col min="3916" max="3916" width="17.42578125" style="1" customWidth="1"/>
    <col min="3917" max="3917" width="12.28515625" style="1" customWidth="1"/>
    <col min="3918" max="4026" width="10" style="1"/>
    <col min="4027" max="4027" width="1.85546875" style="1" customWidth="1"/>
    <col min="4028" max="4029" width="1" style="1" customWidth="1"/>
    <col min="4030" max="4030" width="34" style="1" customWidth="1"/>
    <col min="4031" max="4032" width="1" style="1" customWidth="1"/>
    <col min="4033" max="4033" width="17.85546875" style="1" customWidth="1"/>
    <col min="4034" max="4035" width="1" style="1" customWidth="1"/>
    <col min="4036" max="4080" width="0" style="1" hidden="1" customWidth="1"/>
    <col min="4081" max="4082" width="1" style="1" customWidth="1"/>
    <col min="4083" max="4083" width="17.85546875" style="1" customWidth="1"/>
    <col min="4084" max="4085" width="1" style="1" customWidth="1"/>
    <col min="4086" max="4095" width="0" style="1" hidden="1" customWidth="1"/>
    <col min="4096" max="4097" width="1" style="1" customWidth="1"/>
    <col min="4098" max="4098" width="17.85546875" style="1" customWidth="1"/>
    <col min="4099" max="4102" width="1" style="1" customWidth="1"/>
    <col min="4103" max="4103" width="17.85546875" style="1" customWidth="1"/>
    <col min="4104" max="4105" width="1" style="1" customWidth="1"/>
    <col min="4106" max="4150" width="0" style="1" hidden="1" customWidth="1"/>
    <col min="4151" max="4152" width="1" style="1" customWidth="1"/>
    <col min="4153" max="4153" width="17.85546875" style="1" customWidth="1"/>
    <col min="4154" max="4155" width="1" style="1" customWidth="1"/>
    <col min="4156" max="4165" width="0" style="1" hidden="1" customWidth="1"/>
    <col min="4166" max="4167" width="1" style="1" customWidth="1"/>
    <col min="4168" max="4168" width="17.85546875" style="1" customWidth="1"/>
    <col min="4169" max="4169" width="1" style="1" customWidth="1"/>
    <col min="4170" max="4170" width="2" style="1" customWidth="1"/>
    <col min="4171" max="4171" width="6.42578125" style="1" customWidth="1"/>
    <col min="4172" max="4172" width="17.42578125" style="1" customWidth="1"/>
    <col min="4173" max="4173" width="12.28515625" style="1" customWidth="1"/>
    <col min="4174" max="4282" width="10" style="1"/>
    <col min="4283" max="4283" width="1.85546875" style="1" customWidth="1"/>
    <col min="4284" max="4285" width="1" style="1" customWidth="1"/>
    <col min="4286" max="4286" width="34" style="1" customWidth="1"/>
    <col min="4287" max="4288" width="1" style="1" customWidth="1"/>
    <col min="4289" max="4289" width="17.85546875" style="1" customWidth="1"/>
    <col min="4290" max="4291" width="1" style="1" customWidth="1"/>
    <col min="4292" max="4336" width="0" style="1" hidden="1" customWidth="1"/>
    <col min="4337" max="4338" width="1" style="1" customWidth="1"/>
    <col min="4339" max="4339" width="17.85546875" style="1" customWidth="1"/>
    <col min="4340" max="4341" width="1" style="1" customWidth="1"/>
    <col min="4342" max="4351" width="0" style="1" hidden="1" customWidth="1"/>
    <col min="4352" max="4353" width="1" style="1" customWidth="1"/>
    <col min="4354" max="4354" width="17.85546875" style="1" customWidth="1"/>
    <col min="4355" max="4358" width="1" style="1" customWidth="1"/>
    <col min="4359" max="4359" width="17.85546875" style="1" customWidth="1"/>
    <col min="4360" max="4361" width="1" style="1" customWidth="1"/>
    <col min="4362" max="4406" width="0" style="1" hidden="1" customWidth="1"/>
    <col min="4407" max="4408" width="1" style="1" customWidth="1"/>
    <col min="4409" max="4409" width="17.85546875" style="1" customWidth="1"/>
    <col min="4410" max="4411" width="1" style="1" customWidth="1"/>
    <col min="4412" max="4421" width="0" style="1" hidden="1" customWidth="1"/>
    <col min="4422" max="4423" width="1" style="1" customWidth="1"/>
    <col min="4424" max="4424" width="17.85546875" style="1" customWidth="1"/>
    <col min="4425" max="4425" width="1" style="1" customWidth="1"/>
    <col min="4426" max="4426" width="2" style="1" customWidth="1"/>
    <col min="4427" max="4427" width="6.42578125" style="1" customWidth="1"/>
    <col min="4428" max="4428" width="17.42578125" style="1" customWidth="1"/>
    <col min="4429" max="4429" width="12.28515625" style="1" customWidth="1"/>
    <col min="4430" max="4538" width="10" style="1"/>
    <col min="4539" max="4539" width="1.85546875" style="1" customWidth="1"/>
    <col min="4540" max="4541" width="1" style="1" customWidth="1"/>
    <col min="4542" max="4542" width="34" style="1" customWidth="1"/>
    <col min="4543" max="4544" width="1" style="1" customWidth="1"/>
    <col min="4545" max="4545" width="17.85546875" style="1" customWidth="1"/>
    <col min="4546" max="4547" width="1" style="1" customWidth="1"/>
    <col min="4548" max="4592" width="0" style="1" hidden="1" customWidth="1"/>
    <col min="4593" max="4594" width="1" style="1" customWidth="1"/>
    <col min="4595" max="4595" width="17.85546875" style="1" customWidth="1"/>
    <col min="4596" max="4597" width="1" style="1" customWidth="1"/>
    <col min="4598" max="4607" width="0" style="1" hidden="1" customWidth="1"/>
    <col min="4608" max="4609" width="1" style="1" customWidth="1"/>
    <col min="4610" max="4610" width="17.85546875" style="1" customWidth="1"/>
    <col min="4611" max="4614" width="1" style="1" customWidth="1"/>
    <col min="4615" max="4615" width="17.85546875" style="1" customWidth="1"/>
    <col min="4616" max="4617" width="1" style="1" customWidth="1"/>
    <col min="4618" max="4662" width="0" style="1" hidden="1" customWidth="1"/>
    <col min="4663" max="4664" width="1" style="1" customWidth="1"/>
    <col min="4665" max="4665" width="17.85546875" style="1" customWidth="1"/>
    <col min="4666" max="4667" width="1" style="1" customWidth="1"/>
    <col min="4668" max="4677" width="0" style="1" hidden="1" customWidth="1"/>
    <col min="4678" max="4679" width="1" style="1" customWidth="1"/>
    <col min="4680" max="4680" width="17.85546875" style="1" customWidth="1"/>
    <col min="4681" max="4681" width="1" style="1" customWidth="1"/>
    <col min="4682" max="4682" width="2" style="1" customWidth="1"/>
    <col min="4683" max="4683" width="6.42578125" style="1" customWidth="1"/>
    <col min="4684" max="4684" width="17.42578125" style="1" customWidth="1"/>
    <col min="4685" max="4685" width="12.28515625" style="1" customWidth="1"/>
    <col min="4686" max="4794" width="10" style="1"/>
    <col min="4795" max="4795" width="1.85546875" style="1" customWidth="1"/>
    <col min="4796" max="4797" width="1" style="1" customWidth="1"/>
    <col min="4798" max="4798" width="34" style="1" customWidth="1"/>
    <col min="4799" max="4800" width="1" style="1" customWidth="1"/>
    <col min="4801" max="4801" width="17.85546875" style="1" customWidth="1"/>
    <col min="4802" max="4803" width="1" style="1" customWidth="1"/>
    <col min="4804" max="4848" width="0" style="1" hidden="1" customWidth="1"/>
    <col min="4849" max="4850" width="1" style="1" customWidth="1"/>
    <col min="4851" max="4851" width="17.85546875" style="1" customWidth="1"/>
    <col min="4852" max="4853" width="1" style="1" customWidth="1"/>
    <col min="4854" max="4863" width="0" style="1" hidden="1" customWidth="1"/>
    <col min="4864" max="4865" width="1" style="1" customWidth="1"/>
    <col min="4866" max="4866" width="17.85546875" style="1" customWidth="1"/>
    <col min="4867" max="4870" width="1" style="1" customWidth="1"/>
    <col min="4871" max="4871" width="17.85546875" style="1" customWidth="1"/>
    <col min="4872" max="4873" width="1" style="1" customWidth="1"/>
    <col min="4874" max="4918" width="0" style="1" hidden="1" customWidth="1"/>
    <col min="4919" max="4920" width="1" style="1" customWidth="1"/>
    <col min="4921" max="4921" width="17.85546875" style="1" customWidth="1"/>
    <col min="4922" max="4923" width="1" style="1" customWidth="1"/>
    <col min="4924" max="4933" width="0" style="1" hidden="1" customWidth="1"/>
    <col min="4934" max="4935" width="1" style="1" customWidth="1"/>
    <col min="4936" max="4936" width="17.85546875" style="1" customWidth="1"/>
    <col min="4937" max="4937" width="1" style="1" customWidth="1"/>
    <col min="4938" max="4938" width="2" style="1" customWidth="1"/>
    <col min="4939" max="4939" width="6.42578125" style="1" customWidth="1"/>
    <col min="4940" max="4940" width="17.42578125" style="1" customWidth="1"/>
    <col min="4941" max="4941" width="12.28515625" style="1" customWidth="1"/>
    <col min="4942" max="5050" width="10" style="1"/>
    <col min="5051" max="5051" width="1.85546875" style="1" customWidth="1"/>
    <col min="5052" max="5053" width="1" style="1" customWidth="1"/>
    <col min="5054" max="5054" width="34" style="1" customWidth="1"/>
    <col min="5055" max="5056" width="1" style="1" customWidth="1"/>
    <col min="5057" max="5057" width="17.85546875" style="1" customWidth="1"/>
    <col min="5058" max="5059" width="1" style="1" customWidth="1"/>
    <col min="5060" max="5104" width="0" style="1" hidden="1" customWidth="1"/>
    <col min="5105" max="5106" width="1" style="1" customWidth="1"/>
    <col min="5107" max="5107" width="17.85546875" style="1" customWidth="1"/>
    <col min="5108" max="5109" width="1" style="1" customWidth="1"/>
    <col min="5110" max="5119" width="0" style="1" hidden="1" customWidth="1"/>
    <col min="5120" max="5121" width="1" style="1" customWidth="1"/>
    <col min="5122" max="5122" width="17.85546875" style="1" customWidth="1"/>
    <col min="5123" max="5126" width="1" style="1" customWidth="1"/>
    <col min="5127" max="5127" width="17.85546875" style="1" customWidth="1"/>
    <col min="5128" max="5129" width="1" style="1" customWidth="1"/>
    <col min="5130" max="5174" width="0" style="1" hidden="1" customWidth="1"/>
    <col min="5175" max="5176" width="1" style="1" customWidth="1"/>
    <col min="5177" max="5177" width="17.85546875" style="1" customWidth="1"/>
    <col min="5178" max="5179" width="1" style="1" customWidth="1"/>
    <col min="5180" max="5189" width="0" style="1" hidden="1" customWidth="1"/>
    <col min="5190" max="5191" width="1" style="1" customWidth="1"/>
    <col min="5192" max="5192" width="17.85546875" style="1" customWidth="1"/>
    <col min="5193" max="5193" width="1" style="1" customWidth="1"/>
    <col min="5194" max="5194" width="2" style="1" customWidth="1"/>
    <col min="5195" max="5195" width="6.42578125" style="1" customWidth="1"/>
    <col min="5196" max="5196" width="17.42578125" style="1" customWidth="1"/>
    <col min="5197" max="5197" width="12.28515625" style="1" customWidth="1"/>
    <col min="5198" max="5306" width="10" style="1"/>
    <col min="5307" max="5307" width="1.85546875" style="1" customWidth="1"/>
    <col min="5308" max="5309" width="1" style="1" customWidth="1"/>
    <col min="5310" max="5310" width="34" style="1" customWidth="1"/>
    <col min="5311" max="5312" width="1" style="1" customWidth="1"/>
    <col min="5313" max="5313" width="17.85546875" style="1" customWidth="1"/>
    <col min="5314" max="5315" width="1" style="1" customWidth="1"/>
    <col min="5316" max="5360" width="0" style="1" hidden="1" customWidth="1"/>
    <col min="5361" max="5362" width="1" style="1" customWidth="1"/>
    <col min="5363" max="5363" width="17.85546875" style="1" customWidth="1"/>
    <col min="5364" max="5365" width="1" style="1" customWidth="1"/>
    <col min="5366" max="5375" width="0" style="1" hidden="1" customWidth="1"/>
    <col min="5376" max="5377" width="1" style="1" customWidth="1"/>
    <col min="5378" max="5378" width="17.85546875" style="1" customWidth="1"/>
    <col min="5379" max="5382" width="1" style="1" customWidth="1"/>
    <col min="5383" max="5383" width="17.85546875" style="1" customWidth="1"/>
    <col min="5384" max="5385" width="1" style="1" customWidth="1"/>
    <col min="5386" max="5430" width="0" style="1" hidden="1" customWidth="1"/>
    <col min="5431" max="5432" width="1" style="1" customWidth="1"/>
    <col min="5433" max="5433" width="17.85546875" style="1" customWidth="1"/>
    <col min="5434" max="5435" width="1" style="1" customWidth="1"/>
    <col min="5436" max="5445" width="0" style="1" hidden="1" customWidth="1"/>
    <col min="5446" max="5447" width="1" style="1" customWidth="1"/>
    <col min="5448" max="5448" width="17.85546875" style="1" customWidth="1"/>
    <col min="5449" max="5449" width="1" style="1" customWidth="1"/>
    <col min="5450" max="5450" width="2" style="1" customWidth="1"/>
    <col min="5451" max="5451" width="6.42578125" style="1" customWidth="1"/>
    <col min="5452" max="5452" width="17.42578125" style="1" customWidth="1"/>
    <col min="5453" max="5453" width="12.28515625" style="1" customWidth="1"/>
    <col min="5454" max="5562" width="10" style="1"/>
    <col min="5563" max="5563" width="1.85546875" style="1" customWidth="1"/>
    <col min="5564" max="5565" width="1" style="1" customWidth="1"/>
    <col min="5566" max="5566" width="34" style="1" customWidth="1"/>
    <col min="5567" max="5568" width="1" style="1" customWidth="1"/>
    <col min="5569" max="5569" width="17.85546875" style="1" customWidth="1"/>
    <col min="5570" max="5571" width="1" style="1" customWidth="1"/>
    <col min="5572" max="5616" width="0" style="1" hidden="1" customWidth="1"/>
    <col min="5617" max="5618" width="1" style="1" customWidth="1"/>
    <col min="5619" max="5619" width="17.85546875" style="1" customWidth="1"/>
    <col min="5620" max="5621" width="1" style="1" customWidth="1"/>
    <col min="5622" max="5631" width="0" style="1" hidden="1" customWidth="1"/>
    <col min="5632" max="5633" width="1" style="1" customWidth="1"/>
    <col min="5634" max="5634" width="17.85546875" style="1" customWidth="1"/>
    <col min="5635" max="5638" width="1" style="1" customWidth="1"/>
    <col min="5639" max="5639" width="17.85546875" style="1" customWidth="1"/>
    <col min="5640" max="5641" width="1" style="1" customWidth="1"/>
    <col min="5642" max="5686" width="0" style="1" hidden="1" customWidth="1"/>
    <col min="5687" max="5688" width="1" style="1" customWidth="1"/>
    <col min="5689" max="5689" width="17.85546875" style="1" customWidth="1"/>
    <col min="5690" max="5691" width="1" style="1" customWidth="1"/>
    <col min="5692" max="5701" width="0" style="1" hidden="1" customWidth="1"/>
    <col min="5702" max="5703" width="1" style="1" customWidth="1"/>
    <col min="5704" max="5704" width="17.85546875" style="1" customWidth="1"/>
    <col min="5705" max="5705" width="1" style="1" customWidth="1"/>
    <col min="5706" max="5706" width="2" style="1" customWidth="1"/>
    <col min="5707" max="5707" width="6.42578125" style="1" customWidth="1"/>
    <col min="5708" max="5708" width="17.42578125" style="1" customWidth="1"/>
    <col min="5709" max="5709" width="12.28515625" style="1" customWidth="1"/>
    <col min="5710" max="5818" width="10" style="1"/>
    <col min="5819" max="5819" width="1.85546875" style="1" customWidth="1"/>
    <col min="5820" max="5821" width="1" style="1" customWidth="1"/>
    <col min="5822" max="5822" width="34" style="1" customWidth="1"/>
    <col min="5823" max="5824" width="1" style="1" customWidth="1"/>
    <col min="5825" max="5825" width="17.85546875" style="1" customWidth="1"/>
    <col min="5826" max="5827" width="1" style="1" customWidth="1"/>
    <col min="5828" max="5872" width="0" style="1" hidden="1" customWidth="1"/>
    <col min="5873" max="5874" width="1" style="1" customWidth="1"/>
    <col min="5875" max="5875" width="17.85546875" style="1" customWidth="1"/>
    <col min="5876" max="5877" width="1" style="1" customWidth="1"/>
    <col min="5878" max="5887" width="0" style="1" hidden="1" customWidth="1"/>
    <col min="5888" max="5889" width="1" style="1" customWidth="1"/>
    <col min="5890" max="5890" width="17.85546875" style="1" customWidth="1"/>
    <col min="5891" max="5894" width="1" style="1" customWidth="1"/>
    <col min="5895" max="5895" width="17.85546875" style="1" customWidth="1"/>
    <col min="5896" max="5897" width="1" style="1" customWidth="1"/>
    <col min="5898" max="5942" width="0" style="1" hidden="1" customWidth="1"/>
    <col min="5943" max="5944" width="1" style="1" customWidth="1"/>
    <col min="5945" max="5945" width="17.85546875" style="1" customWidth="1"/>
    <col min="5946" max="5947" width="1" style="1" customWidth="1"/>
    <col min="5948" max="5957" width="0" style="1" hidden="1" customWidth="1"/>
    <col min="5958" max="5959" width="1" style="1" customWidth="1"/>
    <col min="5960" max="5960" width="17.85546875" style="1" customWidth="1"/>
    <col min="5961" max="5961" width="1" style="1" customWidth="1"/>
    <col min="5962" max="5962" width="2" style="1" customWidth="1"/>
    <col min="5963" max="5963" width="6.42578125" style="1" customWidth="1"/>
    <col min="5964" max="5964" width="17.42578125" style="1" customWidth="1"/>
    <col min="5965" max="5965" width="12.28515625" style="1" customWidth="1"/>
    <col min="5966" max="6074" width="10" style="1"/>
    <col min="6075" max="6075" width="1.85546875" style="1" customWidth="1"/>
    <col min="6076" max="6077" width="1" style="1" customWidth="1"/>
    <col min="6078" max="6078" width="34" style="1" customWidth="1"/>
    <col min="6079" max="6080" width="1" style="1" customWidth="1"/>
    <col min="6081" max="6081" width="17.85546875" style="1" customWidth="1"/>
    <col min="6082" max="6083" width="1" style="1" customWidth="1"/>
    <col min="6084" max="6128" width="0" style="1" hidden="1" customWidth="1"/>
    <col min="6129" max="6130" width="1" style="1" customWidth="1"/>
    <col min="6131" max="6131" width="17.85546875" style="1" customWidth="1"/>
    <col min="6132" max="6133" width="1" style="1" customWidth="1"/>
    <col min="6134" max="6143" width="0" style="1" hidden="1" customWidth="1"/>
    <col min="6144" max="6145" width="1" style="1" customWidth="1"/>
    <col min="6146" max="6146" width="17.85546875" style="1" customWidth="1"/>
    <col min="6147" max="6150" width="1" style="1" customWidth="1"/>
    <col min="6151" max="6151" width="17.85546875" style="1" customWidth="1"/>
    <col min="6152" max="6153" width="1" style="1" customWidth="1"/>
    <col min="6154" max="6198" width="0" style="1" hidden="1" customWidth="1"/>
    <col min="6199" max="6200" width="1" style="1" customWidth="1"/>
    <col min="6201" max="6201" width="17.85546875" style="1" customWidth="1"/>
    <col min="6202" max="6203" width="1" style="1" customWidth="1"/>
    <col min="6204" max="6213" width="0" style="1" hidden="1" customWidth="1"/>
    <col min="6214" max="6215" width="1" style="1" customWidth="1"/>
    <col min="6216" max="6216" width="17.85546875" style="1" customWidth="1"/>
    <col min="6217" max="6217" width="1" style="1" customWidth="1"/>
    <col min="6218" max="6218" width="2" style="1" customWidth="1"/>
    <col min="6219" max="6219" width="6.42578125" style="1" customWidth="1"/>
    <col min="6220" max="6220" width="17.42578125" style="1" customWidth="1"/>
    <col min="6221" max="6221" width="12.28515625" style="1" customWidth="1"/>
    <col min="6222" max="6330" width="10" style="1"/>
    <col min="6331" max="6331" width="1.85546875" style="1" customWidth="1"/>
    <col min="6332" max="6333" width="1" style="1" customWidth="1"/>
    <col min="6334" max="6334" width="34" style="1" customWidth="1"/>
    <col min="6335" max="6336" width="1" style="1" customWidth="1"/>
    <col min="6337" max="6337" width="17.85546875" style="1" customWidth="1"/>
    <col min="6338" max="6339" width="1" style="1" customWidth="1"/>
    <col min="6340" max="6384" width="0" style="1" hidden="1" customWidth="1"/>
    <col min="6385" max="6386" width="1" style="1" customWidth="1"/>
    <col min="6387" max="6387" width="17.85546875" style="1" customWidth="1"/>
    <col min="6388" max="6389" width="1" style="1" customWidth="1"/>
    <col min="6390" max="6399" width="0" style="1" hidden="1" customWidth="1"/>
    <col min="6400" max="6401" width="1" style="1" customWidth="1"/>
    <col min="6402" max="6402" width="17.85546875" style="1" customWidth="1"/>
    <col min="6403" max="6406" width="1" style="1" customWidth="1"/>
    <col min="6407" max="6407" width="17.85546875" style="1" customWidth="1"/>
    <col min="6408" max="6409" width="1" style="1" customWidth="1"/>
    <col min="6410" max="6454" width="0" style="1" hidden="1" customWidth="1"/>
    <col min="6455" max="6456" width="1" style="1" customWidth="1"/>
    <col min="6457" max="6457" width="17.85546875" style="1" customWidth="1"/>
    <col min="6458" max="6459" width="1" style="1" customWidth="1"/>
    <col min="6460" max="6469" width="0" style="1" hidden="1" customWidth="1"/>
    <col min="6470" max="6471" width="1" style="1" customWidth="1"/>
    <col min="6472" max="6472" width="17.85546875" style="1" customWidth="1"/>
    <col min="6473" max="6473" width="1" style="1" customWidth="1"/>
    <col min="6474" max="6474" width="2" style="1" customWidth="1"/>
    <col min="6475" max="6475" width="6.42578125" style="1" customWidth="1"/>
    <col min="6476" max="6476" width="17.42578125" style="1" customWidth="1"/>
    <col min="6477" max="6477" width="12.28515625" style="1" customWidth="1"/>
    <col min="6478" max="6586" width="10" style="1"/>
    <col min="6587" max="6587" width="1.85546875" style="1" customWidth="1"/>
    <col min="6588" max="6589" width="1" style="1" customWidth="1"/>
    <col min="6590" max="6590" width="34" style="1" customWidth="1"/>
    <col min="6591" max="6592" width="1" style="1" customWidth="1"/>
    <col min="6593" max="6593" width="17.85546875" style="1" customWidth="1"/>
    <col min="6594" max="6595" width="1" style="1" customWidth="1"/>
    <col min="6596" max="6640" width="0" style="1" hidden="1" customWidth="1"/>
    <col min="6641" max="6642" width="1" style="1" customWidth="1"/>
    <col min="6643" max="6643" width="17.85546875" style="1" customWidth="1"/>
    <col min="6644" max="6645" width="1" style="1" customWidth="1"/>
    <col min="6646" max="6655" width="0" style="1" hidden="1" customWidth="1"/>
    <col min="6656" max="6657" width="1" style="1" customWidth="1"/>
    <col min="6658" max="6658" width="17.85546875" style="1" customWidth="1"/>
    <col min="6659" max="6662" width="1" style="1" customWidth="1"/>
    <col min="6663" max="6663" width="17.85546875" style="1" customWidth="1"/>
    <col min="6664" max="6665" width="1" style="1" customWidth="1"/>
    <col min="6666" max="6710" width="0" style="1" hidden="1" customWidth="1"/>
    <col min="6711" max="6712" width="1" style="1" customWidth="1"/>
    <col min="6713" max="6713" width="17.85546875" style="1" customWidth="1"/>
    <col min="6714" max="6715" width="1" style="1" customWidth="1"/>
    <col min="6716" max="6725" width="0" style="1" hidden="1" customWidth="1"/>
    <col min="6726" max="6727" width="1" style="1" customWidth="1"/>
    <col min="6728" max="6728" width="17.85546875" style="1" customWidth="1"/>
    <col min="6729" max="6729" width="1" style="1" customWidth="1"/>
    <col min="6730" max="6730" width="2" style="1" customWidth="1"/>
    <col min="6731" max="6731" width="6.42578125" style="1" customWidth="1"/>
    <col min="6732" max="6732" width="17.42578125" style="1" customWidth="1"/>
    <col min="6733" max="6733" width="12.28515625" style="1" customWidth="1"/>
    <col min="6734" max="6842" width="10" style="1"/>
    <col min="6843" max="6843" width="1.85546875" style="1" customWidth="1"/>
    <col min="6844" max="6845" width="1" style="1" customWidth="1"/>
    <col min="6846" max="6846" width="34" style="1" customWidth="1"/>
    <col min="6847" max="6848" width="1" style="1" customWidth="1"/>
    <col min="6849" max="6849" width="17.85546875" style="1" customWidth="1"/>
    <col min="6850" max="6851" width="1" style="1" customWidth="1"/>
    <col min="6852" max="6896" width="0" style="1" hidden="1" customWidth="1"/>
    <col min="6897" max="6898" width="1" style="1" customWidth="1"/>
    <col min="6899" max="6899" width="17.85546875" style="1" customWidth="1"/>
    <col min="6900" max="6901" width="1" style="1" customWidth="1"/>
    <col min="6902" max="6911" width="0" style="1" hidden="1" customWidth="1"/>
    <col min="6912" max="6913" width="1" style="1" customWidth="1"/>
    <col min="6914" max="6914" width="17.85546875" style="1" customWidth="1"/>
    <col min="6915" max="6918" width="1" style="1" customWidth="1"/>
    <col min="6919" max="6919" width="17.85546875" style="1" customWidth="1"/>
    <col min="6920" max="6921" width="1" style="1" customWidth="1"/>
    <col min="6922" max="6966" width="0" style="1" hidden="1" customWidth="1"/>
    <col min="6967" max="6968" width="1" style="1" customWidth="1"/>
    <col min="6969" max="6969" width="17.85546875" style="1" customWidth="1"/>
    <col min="6970" max="6971" width="1" style="1" customWidth="1"/>
    <col min="6972" max="6981" width="0" style="1" hidden="1" customWidth="1"/>
    <col min="6982" max="6983" width="1" style="1" customWidth="1"/>
    <col min="6984" max="6984" width="17.85546875" style="1" customWidth="1"/>
    <col min="6985" max="6985" width="1" style="1" customWidth="1"/>
    <col min="6986" max="6986" width="2" style="1" customWidth="1"/>
    <col min="6987" max="6987" width="6.42578125" style="1" customWidth="1"/>
    <col min="6988" max="6988" width="17.42578125" style="1" customWidth="1"/>
    <col min="6989" max="6989" width="12.28515625" style="1" customWidth="1"/>
    <col min="6990" max="7098" width="10" style="1"/>
    <col min="7099" max="7099" width="1.85546875" style="1" customWidth="1"/>
    <col min="7100" max="7101" width="1" style="1" customWidth="1"/>
    <col min="7102" max="7102" width="34" style="1" customWidth="1"/>
    <col min="7103" max="7104" width="1" style="1" customWidth="1"/>
    <col min="7105" max="7105" width="17.85546875" style="1" customWidth="1"/>
    <col min="7106" max="7107" width="1" style="1" customWidth="1"/>
    <col min="7108" max="7152" width="0" style="1" hidden="1" customWidth="1"/>
    <col min="7153" max="7154" width="1" style="1" customWidth="1"/>
    <col min="7155" max="7155" width="17.85546875" style="1" customWidth="1"/>
    <col min="7156" max="7157" width="1" style="1" customWidth="1"/>
    <col min="7158" max="7167" width="0" style="1" hidden="1" customWidth="1"/>
    <col min="7168" max="7169" width="1" style="1" customWidth="1"/>
    <col min="7170" max="7170" width="17.85546875" style="1" customWidth="1"/>
    <col min="7171" max="7174" width="1" style="1" customWidth="1"/>
    <col min="7175" max="7175" width="17.85546875" style="1" customWidth="1"/>
    <col min="7176" max="7177" width="1" style="1" customWidth="1"/>
    <col min="7178" max="7222" width="0" style="1" hidden="1" customWidth="1"/>
    <col min="7223" max="7224" width="1" style="1" customWidth="1"/>
    <col min="7225" max="7225" width="17.85546875" style="1" customWidth="1"/>
    <col min="7226" max="7227" width="1" style="1" customWidth="1"/>
    <col min="7228" max="7237" width="0" style="1" hidden="1" customWidth="1"/>
    <col min="7238" max="7239" width="1" style="1" customWidth="1"/>
    <col min="7240" max="7240" width="17.85546875" style="1" customWidth="1"/>
    <col min="7241" max="7241" width="1" style="1" customWidth="1"/>
    <col min="7242" max="7242" width="2" style="1" customWidth="1"/>
    <col min="7243" max="7243" width="6.42578125" style="1" customWidth="1"/>
    <col min="7244" max="7244" width="17.42578125" style="1" customWidth="1"/>
    <col min="7245" max="7245" width="12.28515625" style="1" customWidth="1"/>
    <col min="7246" max="7354" width="10" style="1"/>
    <col min="7355" max="7355" width="1.85546875" style="1" customWidth="1"/>
    <col min="7356" max="7357" width="1" style="1" customWidth="1"/>
    <col min="7358" max="7358" width="34" style="1" customWidth="1"/>
    <col min="7359" max="7360" width="1" style="1" customWidth="1"/>
    <col min="7361" max="7361" width="17.85546875" style="1" customWidth="1"/>
    <col min="7362" max="7363" width="1" style="1" customWidth="1"/>
    <col min="7364" max="7408" width="0" style="1" hidden="1" customWidth="1"/>
    <col min="7409" max="7410" width="1" style="1" customWidth="1"/>
    <col min="7411" max="7411" width="17.85546875" style="1" customWidth="1"/>
    <col min="7412" max="7413" width="1" style="1" customWidth="1"/>
    <col min="7414" max="7423" width="0" style="1" hidden="1" customWidth="1"/>
    <col min="7424" max="7425" width="1" style="1" customWidth="1"/>
    <col min="7426" max="7426" width="17.85546875" style="1" customWidth="1"/>
    <col min="7427" max="7430" width="1" style="1" customWidth="1"/>
    <col min="7431" max="7431" width="17.85546875" style="1" customWidth="1"/>
    <col min="7432" max="7433" width="1" style="1" customWidth="1"/>
    <col min="7434" max="7478" width="0" style="1" hidden="1" customWidth="1"/>
    <col min="7479" max="7480" width="1" style="1" customWidth="1"/>
    <col min="7481" max="7481" width="17.85546875" style="1" customWidth="1"/>
    <col min="7482" max="7483" width="1" style="1" customWidth="1"/>
    <col min="7484" max="7493" width="0" style="1" hidden="1" customWidth="1"/>
    <col min="7494" max="7495" width="1" style="1" customWidth="1"/>
    <col min="7496" max="7496" width="17.85546875" style="1" customWidth="1"/>
    <col min="7497" max="7497" width="1" style="1" customWidth="1"/>
    <col min="7498" max="7498" width="2" style="1" customWidth="1"/>
    <col min="7499" max="7499" width="6.42578125" style="1" customWidth="1"/>
    <col min="7500" max="7500" width="17.42578125" style="1" customWidth="1"/>
    <col min="7501" max="7501" width="12.28515625" style="1" customWidth="1"/>
    <col min="7502" max="7610" width="10" style="1"/>
    <col min="7611" max="7611" width="1.85546875" style="1" customWidth="1"/>
    <col min="7612" max="7613" width="1" style="1" customWidth="1"/>
    <col min="7614" max="7614" width="34" style="1" customWidth="1"/>
    <col min="7615" max="7616" width="1" style="1" customWidth="1"/>
    <col min="7617" max="7617" width="17.85546875" style="1" customWidth="1"/>
    <col min="7618" max="7619" width="1" style="1" customWidth="1"/>
    <col min="7620" max="7664" width="0" style="1" hidden="1" customWidth="1"/>
    <col min="7665" max="7666" width="1" style="1" customWidth="1"/>
    <col min="7667" max="7667" width="17.85546875" style="1" customWidth="1"/>
    <col min="7668" max="7669" width="1" style="1" customWidth="1"/>
    <col min="7670" max="7679" width="0" style="1" hidden="1" customWidth="1"/>
    <col min="7680" max="7681" width="1" style="1" customWidth="1"/>
    <col min="7682" max="7682" width="17.85546875" style="1" customWidth="1"/>
    <col min="7683" max="7686" width="1" style="1" customWidth="1"/>
    <col min="7687" max="7687" width="17.85546875" style="1" customWidth="1"/>
    <col min="7688" max="7689" width="1" style="1" customWidth="1"/>
    <col min="7690" max="7734" width="0" style="1" hidden="1" customWidth="1"/>
    <col min="7735" max="7736" width="1" style="1" customWidth="1"/>
    <col min="7737" max="7737" width="17.85546875" style="1" customWidth="1"/>
    <col min="7738" max="7739" width="1" style="1" customWidth="1"/>
    <col min="7740" max="7749" width="0" style="1" hidden="1" customWidth="1"/>
    <col min="7750" max="7751" width="1" style="1" customWidth="1"/>
    <col min="7752" max="7752" width="17.85546875" style="1" customWidth="1"/>
    <col min="7753" max="7753" width="1" style="1" customWidth="1"/>
    <col min="7754" max="7754" width="2" style="1" customWidth="1"/>
    <col min="7755" max="7755" width="6.42578125" style="1" customWidth="1"/>
    <col min="7756" max="7756" width="17.42578125" style="1" customWidth="1"/>
    <col min="7757" max="7757" width="12.28515625" style="1" customWidth="1"/>
    <col min="7758" max="7866" width="10" style="1"/>
    <col min="7867" max="7867" width="1.85546875" style="1" customWidth="1"/>
    <col min="7868" max="7869" width="1" style="1" customWidth="1"/>
    <col min="7870" max="7870" width="34" style="1" customWidth="1"/>
    <col min="7871" max="7872" width="1" style="1" customWidth="1"/>
    <col min="7873" max="7873" width="17.85546875" style="1" customWidth="1"/>
    <col min="7874" max="7875" width="1" style="1" customWidth="1"/>
    <col min="7876" max="7920" width="0" style="1" hidden="1" customWidth="1"/>
    <col min="7921" max="7922" width="1" style="1" customWidth="1"/>
    <col min="7923" max="7923" width="17.85546875" style="1" customWidth="1"/>
    <col min="7924" max="7925" width="1" style="1" customWidth="1"/>
    <col min="7926" max="7935" width="0" style="1" hidden="1" customWidth="1"/>
    <col min="7936" max="7937" width="1" style="1" customWidth="1"/>
    <col min="7938" max="7938" width="17.85546875" style="1" customWidth="1"/>
    <col min="7939" max="7942" width="1" style="1" customWidth="1"/>
    <col min="7943" max="7943" width="17.85546875" style="1" customWidth="1"/>
    <col min="7944" max="7945" width="1" style="1" customWidth="1"/>
    <col min="7946" max="7990" width="0" style="1" hidden="1" customWidth="1"/>
    <col min="7991" max="7992" width="1" style="1" customWidth="1"/>
    <col min="7993" max="7993" width="17.85546875" style="1" customWidth="1"/>
    <col min="7994" max="7995" width="1" style="1" customWidth="1"/>
    <col min="7996" max="8005" width="0" style="1" hidden="1" customWidth="1"/>
    <col min="8006" max="8007" width="1" style="1" customWidth="1"/>
    <col min="8008" max="8008" width="17.85546875" style="1" customWidth="1"/>
    <col min="8009" max="8009" width="1" style="1" customWidth="1"/>
    <col min="8010" max="8010" width="2" style="1" customWidth="1"/>
    <col min="8011" max="8011" width="6.42578125" style="1" customWidth="1"/>
    <col min="8012" max="8012" width="17.42578125" style="1" customWidth="1"/>
    <col min="8013" max="8013" width="12.28515625" style="1" customWidth="1"/>
    <col min="8014" max="8122" width="10" style="1"/>
    <col min="8123" max="8123" width="1.85546875" style="1" customWidth="1"/>
    <col min="8124" max="8125" width="1" style="1" customWidth="1"/>
    <col min="8126" max="8126" width="34" style="1" customWidth="1"/>
    <col min="8127" max="8128" width="1" style="1" customWidth="1"/>
    <col min="8129" max="8129" width="17.85546875" style="1" customWidth="1"/>
    <col min="8130" max="8131" width="1" style="1" customWidth="1"/>
    <col min="8132" max="8176" width="0" style="1" hidden="1" customWidth="1"/>
    <col min="8177" max="8178" width="1" style="1" customWidth="1"/>
    <col min="8179" max="8179" width="17.85546875" style="1" customWidth="1"/>
    <col min="8180" max="8181" width="1" style="1" customWidth="1"/>
    <col min="8182" max="8191" width="0" style="1" hidden="1" customWidth="1"/>
    <col min="8192" max="8193" width="1" style="1" customWidth="1"/>
    <col min="8194" max="8194" width="17.85546875" style="1" customWidth="1"/>
    <col min="8195" max="8198" width="1" style="1" customWidth="1"/>
    <col min="8199" max="8199" width="17.85546875" style="1" customWidth="1"/>
    <col min="8200" max="8201" width="1" style="1" customWidth="1"/>
    <col min="8202" max="8246" width="0" style="1" hidden="1" customWidth="1"/>
    <col min="8247" max="8248" width="1" style="1" customWidth="1"/>
    <col min="8249" max="8249" width="17.85546875" style="1" customWidth="1"/>
    <col min="8250" max="8251" width="1" style="1" customWidth="1"/>
    <col min="8252" max="8261" width="0" style="1" hidden="1" customWidth="1"/>
    <col min="8262" max="8263" width="1" style="1" customWidth="1"/>
    <col min="8264" max="8264" width="17.85546875" style="1" customWidth="1"/>
    <col min="8265" max="8265" width="1" style="1" customWidth="1"/>
    <col min="8266" max="8266" width="2" style="1" customWidth="1"/>
    <col min="8267" max="8267" width="6.42578125" style="1" customWidth="1"/>
    <col min="8268" max="8268" width="17.42578125" style="1" customWidth="1"/>
    <col min="8269" max="8269" width="12.28515625" style="1" customWidth="1"/>
    <col min="8270" max="8378" width="10" style="1"/>
    <col min="8379" max="8379" width="1.85546875" style="1" customWidth="1"/>
    <col min="8380" max="8381" width="1" style="1" customWidth="1"/>
    <col min="8382" max="8382" width="34" style="1" customWidth="1"/>
    <col min="8383" max="8384" width="1" style="1" customWidth="1"/>
    <col min="8385" max="8385" width="17.85546875" style="1" customWidth="1"/>
    <col min="8386" max="8387" width="1" style="1" customWidth="1"/>
    <col min="8388" max="8432" width="0" style="1" hidden="1" customWidth="1"/>
    <col min="8433" max="8434" width="1" style="1" customWidth="1"/>
    <col min="8435" max="8435" width="17.85546875" style="1" customWidth="1"/>
    <col min="8436" max="8437" width="1" style="1" customWidth="1"/>
    <col min="8438" max="8447" width="0" style="1" hidden="1" customWidth="1"/>
    <col min="8448" max="8449" width="1" style="1" customWidth="1"/>
    <col min="8450" max="8450" width="17.85546875" style="1" customWidth="1"/>
    <col min="8451" max="8454" width="1" style="1" customWidth="1"/>
    <col min="8455" max="8455" width="17.85546875" style="1" customWidth="1"/>
    <col min="8456" max="8457" width="1" style="1" customWidth="1"/>
    <col min="8458" max="8502" width="0" style="1" hidden="1" customWidth="1"/>
    <col min="8503" max="8504" width="1" style="1" customWidth="1"/>
    <col min="8505" max="8505" width="17.85546875" style="1" customWidth="1"/>
    <col min="8506" max="8507" width="1" style="1" customWidth="1"/>
    <col min="8508" max="8517" width="0" style="1" hidden="1" customWidth="1"/>
    <col min="8518" max="8519" width="1" style="1" customWidth="1"/>
    <col min="8520" max="8520" width="17.85546875" style="1" customWidth="1"/>
    <col min="8521" max="8521" width="1" style="1" customWidth="1"/>
    <col min="8522" max="8522" width="2" style="1" customWidth="1"/>
    <col min="8523" max="8523" width="6.42578125" style="1" customWidth="1"/>
    <col min="8524" max="8524" width="17.42578125" style="1" customWidth="1"/>
    <col min="8525" max="8525" width="12.28515625" style="1" customWidth="1"/>
    <col min="8526" max="8634" width="10" style="1"/>
    <col min="8635" max="8635" width="1.85546875" style="1" customWidth="1"/>
    <col min="8636" max="8637" width="1" style="1" customWidth="1"/>
    <col min="8638" max="8638" width="34" style="1" customWidth="1"/>
    <col min="8639" max="8640" width="1" style="1" customWidth="1"/>
    <col min="8641" max="8641" width="17.85546875" style="1" customWidth="1"/>
    <col min="8642" max="8643" width="1" style="1" customWidth="1"/>
    <col min="8644" max="8688" width="0" style="1" hidden="1" customWidth="1"/>
    <col min="8689" max="8690" width="1" style="1" customWidth="1"/>
    <col min="8691" max="8691" width="17.85546875" style="1" customWidth="1"/>
    <col min="8692" max="8693" width="1" style="1" customWidth="1"/>
    <col min="8694" max="8703" width="0" style="1" hidden="1" customWidth="1"/>
    <col min="8704" max="8705" width="1" style="1" customWidth="1"/>
    <col min="8706" max="8706" width="17.85546875" style="1" customWidth="1"/>
    <col min="8707" max="8710" width="1" style="1" customWidth="1"/>
    <col min="8711" max="8711" width="17.85546875" style="1" customWidth="1"/>
    <col min="8712" max="8713" width="1" style="1" customWidth="1"/>
    <col min="8714" max="8758" width="0" style="1" hidden="1" customWidth="1"/>
    <col min="8759" max="8760" width="1" style="1" customWidth="1"/>
    <col min="8761" max="8761" width="17.85546875" style="1" customWidth="1"/>
    <col min="8762" max="8763" width="1" style="1" customWidth="1"/>
    <col min="8764" max="8773" width="0" style="1" hidden="1" customWidth="1"/>
    <col min="8774" max="8775" width="1" style="1" customWidth="1"/>
    <col min="8776" max="8776" width="17.85546875" style="1" customWidth="1"/>
    <col min="8777" max="8777" width="1" style="1" customWidth="1"/>
    <col min="8778" max="8778" width="2" style="1" customWidth="1"/>
    <col min="8779" max="8779" width="6.42578125" style="1" customWidth="1"/>
    <col min="8780" max="8780" width="17.42578125" style="1" customWidth="1"/>
    <col min="8781" max="8781" width="12.28515625" style="1" customWidth="1"/>
    <col min="8782" max="8890" width="10" style="1"/>
    <col min="8891" max="8891" width="1.85546875" style="1" customWidth="1"/>
    <col min="8892" max="8893" width="1" style="1" customWidth="1"/>
    <col min="8894" max="8894" width="34" style="1" customWidth="1"/>
    <col min="8895" max="8896" width="1" style="1" customWidth="1"/>
    <col min="8897" max="8897" width="17.85546875" style="1" customWidth="1"/>
    <col min="8898" max="8899" width="1" style="1" customWidth="1"/>
    <col min="8900" max="8944" width="0" style="1" hidden="1" customWidth="1"/>
    <col min="8945" max="8946" width="1" style="1" customWidth="1"/>
    <col min="8947" max="8947" width="17.85546875" style="1" customWidth="1"/>
    <col min="8948" max="8949" width="1" style="1" customWidth="1"/>
    <col min="8950" max="8959" width="0" style="1" hidden="1" customWidth="1"/>
    <col min="8960" max="8961" width="1" style="1" customWidth="1"/>
    <col min="8962" max="8962" width="17.85546875" style="1" customWidth="1"/>
    <col min="8963" max="8966" width="1" style="1" customWidth="1"/>
    <col min="8967" max="8967" width="17.85546875" style="1" customWidth="1"/>
    <col min="8968" max="8969" width="1" style="1" customWidth="1"/>
    <col min="8970" max="9014" width="0" style="1" hidden="1" customWidth="1"/>
    <col min="9015" max="9016" width="1" style="1" customWidth="1"/>
    <col min="9017" max="9017" width="17.85546875" style="1" customWidth="1"/>
    <col min="9018" max="9019" width="1" style="1" customWidth="1"/>
    <col min="9020" max="9029" width="0" style="1" hidden="1" customWidth="1"/>
    <col min="9030" max="9031" width="1" style="1" customWidth="1"/>
    <col min="9032" max="9032" width="17.85546875" style="1" customWidth="1"/>
    <col min="9033" max="9033" width="1" style="1" customWidth="1"/>
    <col min="9034" max="9034" width="2" style="1" customWidth="1"/>
    <col min="9035" max="9035" width="6.42578125" style="1" customWidth="1"/>
    <col min="9036" max="9036" width="17.42578125" style="1" customWidth="1"/>
    <col min="9037" max="9037" width="12.28515625" style="1" customWidth="1"/>
    <col min="9038" max="9146" width="10" style="1"/>
    <col min="9147" max="9147" width="1.85546875" style="1" customWidth="1"/>
    <col min="9148" max="9149" width="1" style="1" customWidth="1"/>
    <col min="9150" max="9150" width="34" style="1" customWidth="1"/>
    <col min="9151" max="9152" width="1" style="1" customWidth="1"/>
    <col min="9153" max="9153" width="17.85546875" style="1" customWidth="1"/>
    <col min="9154" max="9155" width="1" style="1" customWidth="1"/>
    <col min="9156" max="9200" width="0" style="1" hidden="1" customWidth="1"/>
    <col min="9201" max="9202" width="1" style="1" customWidth="1"/>
    <col min="9203" max="9203" width="17.85546875" style="1" customWidth="1"/>
    <col min="9204" max="9205" width="1" style="1" customWidth="1"/>
    <col min="9206" max="9215" width="0" style="1" hidden="1" customWidth="1"/>
    <col min="9216" max="9217" width="1" style="1" customWidth="1"/>
    <col min="9218" max="9218" width="17.85546875" style="1" customWidth="1"/>
    <col min="9219" max="9222" width="1" style="1" customWidth="1"/>
    <col min="9223" max="9223" width="17.85546875" style="1" customWidth="1"/>
    <col min="9224" max="9225" width="1" style="1" customWidth="1"/>
    <col min="9226" max="9270" width="0" style="1" hidden="1" customWidth="1"/>
    <col min="9271" max="9272" width="1" style="1" customWidth="1"/>
    <col min="9273" max="9273" width="17.85546875" style="1" customWidth="1"/>
    <col min="9274" max="9275" width="1" style="1" customWidth="1"/>
    <col min="9276" max="9285" width="0" style="1" hidden="1" customWidth="1"/>
    <col min="9286" max="9287" width="1" style="1" customWidth="1"/>
    <col min="9288" max="9288" width="17.85546875" style="1" customWidth="1"/>
    <col min="9289" max="9289" width="1" style="1" customWidth="1"/>
    <col min="9290" max="9290" width="2" style="1" customWidth="1"/>
    <col min="9291" max="9291" width="6.42578125" style="1" customWidth="1"/>
    <col min="9292" max="9292" width="17.42578125" style="1" customWidth="1"/>
    <col min="9293" max="9293" width="12.28515625" style="1" customWidth="1"/>
    <col min="9294" max="9402" width="10" style="1"/>
    <col min="9403" max="9403" width="1.85546875" style="1" customWidth="1"/>
    <col min="9404" max="9405" width="1" style="1" customWidth="1"/>
    <col min="9406" max="9406" width="34" style="1" customWidth="1"/>
    <col min="9407" max="9408" width="1" style="1" customWidth="1"/>
    <col min="9409" max="9409" width="17.85546875" style="1" customWidth="1"/>
    <col min="9410" max="9411" width="1" style="1" customWidth="1"/>
    <col min="9412" max="9456" width="0" style="1" hidden="1" customWidth="1"/>
    <col min="9457" max="9458" width="1" style="1" customWidth="1"/>
    <col min="9459" max="9459" width="17.85546875" style="1" customWidth="1"/>
    <col min="9460" max="9461" width="1" style="1" customWidth="1"/>
    <col min="9462" max="9471" width="0" style="1" hidden="1" customWidth="1"/>
    <col min="9472" max="9473" width="1" style="1" customWidth="1"/>
    <col min="9474" max="9474" width="17.85546875" style="1" customWidth="1"/>
    <col min="9475" max="9478" width="1" style="1" customWidth="1"/>
    <col min="9479" max="9479" width="17.85546875" style="1" customWidth="1"/>
    <col min="9480" max="9481" width="1" style="1" customWidth="1"/>
    <col min="9482" max="9526" width="0" style="1" hidden="1" customWidth="1"/>
    <col min="9527" max="9528" width="1" style="1" customWidth="1"/>
    <col min="9529" max="9529" width="17.85546875" style="1" customWidth="1"/>
    <col min="9530" max="9531" width="1" style="1" customWidth="1"/>
    <col min="9532" max="9541" width="0" style="1" hidden="1" customWidth="1"/>
    <col min="9542" max="9543" width="1" style="1" customWidth="1"/>
    <col min="9544" max="9544" width="17.85546875" style="1" customWidth="1"/>
    <col min="9545" max="9545" width="1" style="1" customWidth="1"/>
    <col min="9546" max="9546" width="2" style="1" customWidth="1"/>
    <col min="9547" max="9547" width="6.42578125" style="1" customWidth="1"/>
    <col min="9548" max="9548" width="17.42578125" style="1" customWidth="1"/>
    <col min="9549" max="9549" width="12.28515625" style="1" customWidth="1"/>
    <col min="9550" max="9658" width="10" style="1"/>
    <col min="9659" max="9659" width="1.85546875" style="1" customWidth="1"/>
    <col min="9660" max="9661" width="1" style="1" customWidth="1"/>
    <col min="9662" max="9662" width="34" style="1" customWidth="1"/>
    <col min="9663" max="9664" width="1" style="1" customWidth="1"/>
    <col min="9665" max="9665" width="17.85546875" style="1" customWidth="1"/>
    <col min="9666" max="9667" width="1" style="1" customWidth="1"/>
    <col min="9668" max="9712" width="0" style="1" hidden="1" customWidth="1"/>
    <col min="9713" max="9714" width="1" style="1" customWidth="1"/>
    <col min="9715" max="9715" width="17.85546875" style="1" customWidth="1"/>
    <col min="9716" max="9717" width="1" style="1" customWidth="1"/>
    <col min="9718" max="9727" width="0" style="1" hidden="1" customWidth="1"/>
    <col min="9728" max="9729" width="1" style="1" customWidth="1"/>
    <col min="9730" max="9730" width="17.85546875" style="1" customWidth="1"/>
    <col min="9731" max="9734" width="1" style="1" customWidth="1"/>
    <col min="9735" max="9735" width="17.85546875" style="1" customWidth="1"/>
    <col min="9736" max="9737" width="1" style="1" customWidth="1"/>
    <col min="9738" max="9782" width="0" style="1" hidden="1" customWidth="1"/>
    <col min="9783" max="9784" width="1" style="1" customWidth="1"/>
    <col min="9785" max="9785" width="17.85546875" style="1" customWidth="1"/>
    <col min="9786" max="9787" width="1" style="1" customWidth="1"/>
    <col min="9788" max="9797" width="0" style="1" hidden="1" customWidth="1"/>
    <col min="9798" max="9799" width="1" style="1" customWidth="1"/>
    <col min="9800" max="9800" width="17.85546875" style="1" customWidth="1"/>
    <col min="9801" max="9801" width="1" style="1" customWidth="1"/>
    <col min="9802" max="9802" width="2" style="1" customWidth="1"/>
    <col min="9803" max="9803" width="6.42578125" style="1" customWidth="1"/>
    <col min="9804" max="9804" width="17.42578125" style="1" customWidth="1"/>
    <col min="9805" max="9805" width="12.28515625" style="1" customWidth="1"/>
    <col min="9806" max="9914" width="10" style="1"/>
    <col min="9915" max="9915" width="1.85546875" style="1" customWidth="1"/>
    <col min="9916" max="9917" width="1" style="1" customWidth="1"/>
    <col min="9918" max="9918" width="34" style="1" customWidth="1"/>
    <col min="9919" max="9920" width="1" style="1" customWidth="1"/>
    <col min="9921" max="9921" width="17.85546875" style="1" customWidth="1"/>
    <col min="9922" max="9923" width="1" style="1" customWidth="1"/>
    <col min="9924" max="9968" width="0" style="1" hidden="1" customWidth="1"/>
    <col min="9969" max="9970" width="1" style="1" customWidth="1"/>
    <col min="9971" max="9971" width="17.85546875" style="1" customWidth="1"/>
    <col min="9972" max="9973" width="1" style="1" customWidth="1"/>
    <col min="9974" max="9983" width="0" style="1" hidden="1" customWidth="1"/>
    <col min="9984" max="9985" width="1" style="1" customWidth="1"/>
    <col min="9986" max="9986" width="17.85546875" style="1" customWidth="1"/>
    <col min="9987" max="9990" width="1" style="1" customWidth="1"/>
    <col min="9991" max="9991" width="17.85546875" style="1" customWidth="1"/>
    <col min="9992" max="9993" width="1" style="1" customWidth="1"/>
    <col min="9994" max="10038" width="0" style="1" hidden="1" customWidth="1"/>
    <col min="10039" max="10040" width="1" style="1" customWidth="1"/>
    <col min="10041" max="10041" width="17.85546875" style="1" customWidth="1"/>
    <col min="10042" max="10043" width="1" style="1" customWidth="1"/>
    <col min="10044" max="10053" width="0" style="1" hidden="1" customWidth="1"/>
    <col min="10054" max="10055" width="1" style="1" customWidth="1"/>
    <col min="10056" max="10056" width="17.85546875" style="1" customWidth="1"/>
    <col min="10057" max="10057" width="1" style="1" customWidth="1"/>
    <col min="10058" max="10058" width="2" style="1" customWidth="1"/>
    <col min="10059" max="10059" width="6.42578125" style="1" customWidth="1"/>
    <col min="10060" max="10060" width="17.42578125" style="1" customWidth="1"/>
    <col min="10061" max="10061" width="12.28515625" style="1" customWidth="1"/>
    <col min="10062" max="10170" width="10" style="1"/>
    <col min="10171" max="10171" width="1.85546875" style="1" customWidth="1"/>
    <col min="10172" max="10173" width="1" style="1" customWidth="1"/>
    <col min="10174" max="10174" width="34" style="1" customWidth="1"/>
    <col min="10175" max="10176" width="1" style="1" customWidth="1"/>
    <col min="10177" max="10177" width="17.85546875" style="1" customWidth="1"/>
    <col min="10178" max="10179" width="1" style="1" customWidth="1"/>
    <col min="10180" max="10224" width="0" style="1" hidden="1" customWidth="1"/>
    <col min="10225" max="10226" width="1" style="1" customWidth="1"/>
    <col min="10227" max="10227" width="17.85546875" style="1" customWidth="1"/>
    <col min="10228" max="10229" width="1" style="1" customWidth="1"/>
    <col min="10230" max="10239" width="0" style="1" hidden="1" customWidth="1"/>
    <col min="10240" max="10241" width="1" style="1" customWidth="1"/>
    <col min="10242" max="10242" width="17.85546875" style="1" customWidth="1"/>
    <col min="10243" max="10246" width="1" style="1" customWidth="1"/>
    <col min="10247" max="10247" width="17.85546875" style="1" customWidth="1"/>
    <col min="10248" max="10249" width="1" style="1" customWidth="1"/>
    <col min="10250" max="10294" width="0" style="1" hidden="1" customWidth="1"/>
    <col min="10295" max="10296" width="1" style="1" customWidth="1"/>
    <col min="10297" max="10297" width="17.85546875" style="1" customWidth="1"/>
    <col min="10298" max="10299" width="1" style="1" customWidth="1"/>
    <col min="10300" max="10309" width="0" style="1" hidden="1" customWidth="1"/>
    <col min="10310" max="10311" width="1" style="1" customWidth="1"/>
    <col min="10312" max="10312" width="17.85546875" style="1" customWidth="1"/>
    <col min="10313" max="10313" width="1" style="1" customWidth="1"/>
    <col min="10314" max="10314" width="2" style="1" customWidth="1"/>
    <col min="10315" max="10315" width="6.42578125" style="1" customWidth="1"/>
    <col min="10316" max="10316" width="17.42578125" style="1" customWidth="1"/>
    <col min="10317" max="10317" width="12.28515625" style="1" customWidth="1"/>
    <col min="10318" max="10426" width="10" style="1"/>
    <col min="10427" max="10427" width="1.85546875" style="1" customWidth="1"/>
    <col min="10428" max="10429" width="1" style="1" customWidth="1"/>
    <col min="10430" max="10430" width="34" style="1" customWidth="1"/>
    <col min="10431" max="10432" width="1" style="1" customWidth="1"/>
    <col min="10433" max="10433" width="17.85546875" style="1" customWidth="1"/>
    <col min="10434" max="10435" width="1" style="1" customWidth="1"/>
    <col min="10436" max="10480" width="0" style="1" hidden="1" customWidth="1"/>
    <col min="10481" max="10482" width="1" style="1" customWidth="1"/>
    <col min="10483" max="10483" width="17.85546875" style="1" customWidth="1"/>
    <col min="10484" max="10485" width="1" style="1" customWidth="1"/>
    <col min="10486" max="10495" width="0" style="1" hidden="1" customWidth="1"/>
    <col min="10496" max="10497" width="1" style="1" customWidth="1"/>
    <col min="10498" max="10498" width="17.85546875" style="1" customWidth="1"/>
    <col min="10499" max="10502" width="1" style="1" customWidth="1"/>
    <col min="10503" max="10503" width="17.85546875" style="1" customWidth="1"/>
    <col min="10504" max="10505" width="1" style="1" customWidth="1"/>
    <col min="10506" max="10550" width="0" style="1" hidden="1" customWidth="1"/>
    <col min="10551" max="10552" width="1" style="1" customWidth="1"/>
    <col min="10553" max="10553" width="17.85546875" style="1" customWidth="1"/>
    <col min="10554" max="10555" width="1" style="1" customWidth="1"/>
    <col min="10556" max="10565" width="0" style="1" hidden="1" customWidth="1"/>
    <col min="10566" max="10567" width="1" style="1" customWidth="1"/>
    <col min="10568" max="10568" width="17.85546875" style="1" customWidth="1"/>
    <col min="10569" max="10569" width="1" style="1" customWidth="1"/>
    <col min="10570" max="10570" width="2" style="1" customWidth="1"/>
    <col min="10571" max="10571" width="6.42578125" style="1" customWidth="1"/>
    <col min="10572" max="10572" width="17.42578125" style="1" customWidth="1"/>
    <col min="10573" max="10573" width="12.28515625" style="1" customWidth="1"/>
    <col min="10574" max="10682" width="10" style="1"/>
    <col min="10683" max="10683" width="1.85546875" style="1" customWidth="1"/>
    <col min="10684" max="10685" width="1" style="1" customWidth="1"/>
    <col min="10686" max="10686" width="34" style="1" customWidth="1"/>
    <col min="10687" max="10688" width="1" style="1" customWidth="1"/>
    <col min="10689" max="10689" width="17.85546875" style="1" customWidth="1"/>
    <col min="10690" max="10691" width="1" style="1" customWidth="1"/>
    <col min="10692" max="10736" width="0" style="1" hidden="1" customWidth="1"/>
    <col min="10737" max="10738" width="1" style="1" customWidth="1"/>
    <col min="10739" max="10739" width="17.85546875" style="1" customWidth="1"/>
    <col min="10740" max="10741" width="1" style="1" customWidth="1"/>
    <col min="10742" max="10751" width="0" style="1" hidden="1" customWidth="1"/>
    <col min="10752" max="10753" width="1" style="1" customWidth="1"/>
    <col min="10754" max="10754" width="17.85546875" style="1" customWidth="1"/>
    <col min="10755" max="10758" width="1" style="1" customWidth="1"/>
    <col min="10759" max="10759" width="17.85546875" style="1" customWidth="1"/>
    <col min="10760" max="10761" width="1" style="1" customWidth="1"/>
    <col min="10762" max="10806" width="0" style="1" hidden="1" customWidth="1"/>
    <col min="10807" max="10808" width="1" style="1" customWidth="1"/>
    <col min="10809" max="10809" width="17.85546875" style="1" customWidth="1"/>
    <col min="10810" max="10811" width="1" style="1" customWidth="1"/>
    <col min="10812" max="10821" width="0" style="1" hidden="1" customWidth="1"/>
    <col min="10822" max="10823" width="1" style="1" customWidth="1"/>
    <col min="10824" max="10824" width="17.85546875" style="1" customWidth="1"/>
    <col min="10825" max="10825" width="1" style="1" customWidth="1"/>
    <col min="10826" max="10826" width="2" style="1" customWidth="1"/>
    <col min="10827" max="10827" width="6.42578125" style="1" customWidth="1"/>
    <col min="10828" max="10828" width="17.42578125" style="1" customWidth="1"/>
    <col min="10829" max="10829" width="12.28515625" style="1" customWidth="1"/>
    <col min="10830" max="10938" width="10" style="1"/>
    <col min="10939" max="10939" width="1.85546875" style="1" customWidth="1"/>
    <col min="10940" max="10941" width="1" style="1" customWidth="1"/>
    <col min="10942" max="10942" width="34" style="1" customWidth="1"/>
    <col min="10943" max="10944" width="1" style="1" customWidth="1"/>
    <col min="10945" max="10945" width="17.85546875" style="1" customWidth="1"/>
    <col min="10946" max="10947" width="1" style="1" customWidth="1"/>
    <col min="10948" max="10992" width="0" style="1" hidden="1" customWidth="1"/>
    <col min="10993" max="10994" width="1" style="1" customWidth="1"/>
    <col min="10995" max="10995" width="17.85546875" style="1" customWidth="1"/>
    <col min="10996" max="10997" width="1" style="1" customWidth="1"/>
    <col min="10998" max="11007" width="0" style="1" hidden="1" customWidth="1"/>
    <col min="11008" max="11009" width="1" style="1" customWidth="1"/>
    <col min="11010" max="11010" width="17.85546875" style="1" customWidth="1"/>
    <col min="11011" max="11014" width="1" style="1" customWidth="1"/>
    <col min="11015" max="11015" width="17.85546875" style="1" customWidth="1"/>
    <col min="11016" max="11017" width="1" style="1" customWidth="1"/>
    <col min="11018" max="11062" width="0" style="1" hidden="1" customWidth="1"/>
    <col min="11063" max="11064" width="1" style="1" customWidth="1"/>
    <col min="11065" max="11065" width="17.85546875" style="1" customWidth="1"/>
    <col min="11066" max="11067" width="1" style="1" customWidth="1"/>
    <col min="11068" max="11077" width="0" style="1" hidden="1" customWidth="1"/>
    <col min="11078" max="11079" width="1" style="1" customWidth="1"/>
    <col min="11080" max="11080" width="17.85546875" style="1" customWidth="1"/>
    <col min="11081" max="11081" width="1" style="1" customWidth="1"/>
    <col min="11082" max="11082" width="2" style="1" customWidth="1"/>
    <col min="11083" max="11083" width="6.42578125" style="1" customWidth="1"/>
    <col min="11084" max="11084" width="17.42578125" style="1" customWidth="1"/>
    <col min="11085" max="11085" width="12.28515625" style="1" customWidth="1"/>
    <col min="11086" max="11194" width="10" style="1"/>
    <col min="11195" max="11195" width="1.85546875" style="1" customWidth="1"/>
    <col min="11196" max="11197" width="1" style="1" customWidth="1"/>
    <col min="11198" max="11198" width="34" style="1" customWidth="1"/>
    <col min="11199" max="11200" width="1" style="1" customWidth="1"/>
    <col min="11201" max="11201" width="17.85546875" style="1" customWidth="1"/>
    <col min="11202" max="11203" width="1" style="1" customWidth="1"/>
    <col min="11204" max="11248" width="0" style="1" hidden="1" customWidth="1"/>
    <col min="11249" max="11250" width="1" style="1" customWidth="1"/>
    <col min="11251" max="11251" width="17.85546875" style="1" customWidth="1"/>
    <col min="11252" max="11253" width="1" style="1" customWidth="1"/>
    <col min="11254" max="11263" width="0" style="1" hidden="1" customWidth="1"/>
    <col min="11264" max="11265" width="1" style="1" customWidth="1"/>
    <col min="11266" max="11266" width="17.85546875" style="1" customWidth="1"/>
    <col min="11267" max="11270" width="1" style="1" customWidth="1"/>
    <col min="11271" max="11271" width="17.85546875" style="1" customWidth="1"/>
    <col min="11272" max="11273" width="1" style="1" customWidth="1"/>
    <col min="11274" max="11318" width="0" style="1" hidden="1" customWidth="1"/>
    <col min="11319" max="11320" width="1" style="1" customWidth="1"/>
    <col min="11321" max="11321" width="17.85546875" style="1" customWidth="1"/>
    <col min="11322" max="11323" width="1" style="1" customWidth="1"/>
    <col min="11324" max="11333" width="0" style="1" hidden="1" customWidth="1"/>
    <col min="11334" max="11335" width="1" style="1" customWidth="1"/>
    <col min="11336" max="11336" width="17.85546875" style="1" customWidth="1"/>
    <col min="11337" max="11337" width="1" style="1" customWidth="1"/>
    <col min="11338" max="11338" width="2" style="1" customWidth="1"/>
    <col min="11339" max="11339" width="6.42578125" style="1" customWidth="1"/>
    <col min="11340" max="11340" width="17.42578125" style="1" customWidth="1"/>
    <col min="11341" max="11341" width="12.28515625" style="1" customWidth="1"/>
    <col min="11342" max="11450" width="10" style="1"/>
    <col min="11451" max="11451" width="1.85546875" style="1" customWidth="1"/>
    <col min="11452" max="11453" width="1" style="1" customWidth="1"/>
    <col min="11454" max="11454" width="34" style="1" customWidth="1"/>
    <col min="11455" max="11456" width="1" style="1" customWidth="1"/>
    <col min="11457" max="11457" width="17.85546875" style="1" customWidth="1"/>
    <col min="11458" max="11459" width="1" style="1" customWidth="1"/>
    <col min="11460" max="11504" width="0" style="1" hidden="1" customWidth="1"/>
    <col min="11505" max="11506" width="1" style="1" customWidth="1"/>
    <col min="11507" max="11507" width="17.85546875" style="1" customWidth="1"/>
    <col min="11508" max="11509" width="1" style="1" customWidth="1"/>
    <col min="11510" max="11519" width="0" style="1" hidden="1" customWidth="1"/>
    <col min="11520" max="11521" width="1" style="1" customWidth="1"/>
    <col min="11522" max="11522" width="17.85546875" style="1" customWidth="1"/>
    <col min="11523" max="11526" width="1" style="1" customWidth="1"/>
    <col min="11527" max="11527" width="17.85546875" style="1" customWidth="1"/>
    <col min="11528" max="11529" width="1" style="1" customWidth="1"/>
    <col min="11530" max="11574" width="0" style="1" hidden="1" customWidth="1"/>
    <col min="11575" max="11576" width="1" style="1" customWidth="1"/>
    <col min="11577" max="11577" width="17.85546875" style="1" customWidth="1"/>
    <col min="11578" max="11579" width="1" style="1" customWidth="1"/>
    <col min="11580" max="11589" width="0" style="1" hidden="1" customWidth="1"/>
    <col min="11590" max="11591" width="1" style="1" customWidth="1"/>
    <col min="11592" max="11592" width="17.85546875" style="1" customWidth="1"/>
    <col min="11593" max="11593" width="1" style="1" customWidth="1"/>
    <col min="11594" max="11594" width="2" style="1" customWidth="1"/>
    <col min="11595" max="11595" width="6.42578125" style="1" customWidth="1"/>
    <col min="11596" max="11596" width="17.42578125" style="1" customWidth="1"/>
    <col min="11597" max="11597" width="12.28515625" style="1" customWidth="1"/>
    <col min="11598" max="11706" width="10" style="1"/>
    <col min="11707" max="11707" width="1.85546875" style="1" customWidth="1"/>
    <col min="11708" max="11709" width="1" style="1" customWidth="1"/>
    <col min="11710" max="11710" width="34" style="1" customWidth="1"/>
    <col min="11711" max="11712" width="1" style="1" customWidth="1"/>
    <col min="11713" max="11713" width="17.85546875" style="1" customWidth="1"/>
    <col min="11714" max="11715" width="1" style="1" customWidth="1"/>
    <col min="11716" max="11760" width="0" style="1" hidden="1" customWidth="1"/>
    <col min="11761" max="11762" width="1" style="1" customWidth="1"/>
    <col min="11763" max="11763" width="17.85546875" style="1" customWidth="1"/>
    <col min="11764" max="11765" width="1" style="1" customWidth="1"/>
    <col min="11766" max="11775" width="0" style="1" hidden="1" customWidth="1"/>
    <col min="11776" max="11777" width="1" style="1" customWidth="1"/>
    <col min="11778" max="11778" width="17.85546875" style="1" customWidth="1"/>
    <col min="11779" max="11782" width="1" style="1" customWidth="1"/>
    <col min="11783" max="11783" width="17.85546875" style="1" customWidth="1"/>
    <col min="11784" max="11785" width="1" style="1" customWidth="1"/>
    <col min="11786" max="11830" width="0" style="1" hidden="1" customWidth="1"/>
    <col min="11831" max="11832" width="1" style="1" customWidth="1"/>
    <col min="11833" max="11833" width="17.85546875" style="1" customWidth="1"/>
    <col min="11834" max="11835" width="1" style="1" customWidth="1"/>
    <col min="11836" max="11845" width="0" style="1" hidden="1" customWidth="1"/>
    <col min="11846" max="11847" width="1" style="1" customWidth="1"/>
    <col min="11848" max="11848" width="17.85546875" style="1" customWidth="1"/>
    <col min="11849" max="11849" width="1" style="1" customWidth="1"/>
    <col min="11850" max="11850" width="2" style="1" customWidth="1"/>
    <col min="11851" max="11851" width="6.42578125" style="1" customWidth="1"/>
    <col min="11852" max="11852" width="17.42578125" style="1" customWidth="1"/>
    <col min="11853" max="11853" width="12.28515625" style="1" customWidth="1"/>
    <col min="11854" max="11962" width="10" style="1"/>
    <col min="11963" max="11963" width="1.85546875" style="1" customWidth="1"/>
    <col min="11964" max="11965" width="1" style="1" customWidth="1"/>
    <col min="11966" max="11966" width="34" style="1" customWidth="1"/>
    <col min="11967" max="11968" width="1" style="1" customWidth="1"/>
    <col min="11969" max="11969" width="17.85546875" style="1" customWidth="1"/>
    <col min="11970" max="11971" width="1" style="1" customWidth="1"/>
    <col min="11972" max="12016" width="0" style="1" hidden="1" customWidth="1"/>
    <col min="12017" max="12018" width="1" style="1" customWidth="1"/>
    <col min="12019" max="12019" width="17.85546875" style="1" customWidth="1"/>
    <col min="12020" max="12021" width="1" style="1" customWidth="1"/>
    <col min="12022" max="12031" width="0" style="1" hidden="1" customWidth="1"/>
    <col min="12032" max="12033" width="1" style="1" customWidth="1"/>
    <col min="12034" max="12034" width="17.85546875" style="1" customWidth="1"/>
    <col min="12035" max="12038" width="1" style="1" customWidth="1"/>
    <col min="12039" max="12039" width="17.85546875" style="1" customWidth="1"/>
    <col min="12040" max="12041" width="1" style="1" customWidth="1"/>
    <col min="12042" max="12086" width="0" style="1" hidden="1" customWidth="1"/>
    <col min="12087" max="12088" width="1" style="1" customWidth="1"/>
    <col min="12089" max="12089" width="17.85546875" style="1" customWidth="1"/>
    <col min="12090" max="12091" width="1" style="1" customWidth="1"/>
    <col min="12092" max="12101" width="0" style="1" hidden="1" customWidth="1"/>
    <col min="12102" max="12103" width="1" style="1" customWidth="1"/>
    <col min="12104" max="12104" width="17.85546875" style="1" customWidth="1"/>
    <col min="12105" max="12105" width="1" style="1" customWidth="1"/>
    <col min="12106" max="12106" width="2" style="1" customWidth="1"/>
    <col min="12107" max="12107" width="6.42578125" style="1" customWidth="1"/>
    <col min="12108" max="12108" width="17.42578125" style="1" customWidth="1"/>
    <col min="12109" max="12109" width="12.28515625" style="1" customWidth="1"/>
    <col min="12110" max="12218" width="10" style="1"/>
    <col min="12219" max="12219" width="1.85546875" style="1" customWidth="1"/>
    <col min="12220" max="12221" width="1" style="1" customWidth="1"/>
    <col min="12222" max="12222" width="34" style="1" customWidth="1"/>
    <col min="12223" max="12224" width="1" style="1" customWidth="1"/>
    <col min="12225" max="12225" width="17.85546875" style="1" customWidth="1"/>
    <col min="12226" max="12227" width="1" style="1" customWidth="1"/>
    <col min="12228" max="12272" width="0" style="1" hidden="1" customWidth="1"/>
    <col min="12273" max="12274" width="1" style="1" customWidth="1"/>
    <col min="12275" max="12275" width="17.85546875" style="1" customWidth="1"/>
    <col min="12276" max="12277" width="1" style="1" customWidth="1"/>
    <col min="12278" max="12287" width="0" style="1" hidden="1" customWidth="1"/>
    <col min="12288" max="12289" width="1" style="1" customWidth="1"/>
    <col min="12290" max="12290" width="17.85546875" style="1" customWidth="1"/>
    <col min="12291" max="12294" width="1" style="1" customWidth="1"/>
    <col min="12295" max="12295" width="17.85546875" style="1" customWidth="1"/>
    <col min="12296" max="12297" width="1" style="1" customWidth="1"/>
    <col min="12298" max="12342" width="0" style="1" hidden="1" customWidth="1"/>
    <col min="12343" max="12344" width="1" style="1" customWidth="1"/>
    <col min="12345" max="12345" width="17.85546875" style="1" customWidth="1"/>
    <col min="12346" max="12347" width="1" style="1" customWidth="1"/>
    <col min="12348" max="12357" width="0" style="1" hidden="1" customWidth="1"/>
    <col min="12358" max="12359" width="1" style="1" customWidth="1"/>
    <col min="12360" max="12360" width="17.85546875" style="1" customWidth="1"/>
    <col min="12361" max="12361" width="1" style="1" customWidth="1"/>
    <col min="12362" max="12362" width="2" style="1" customWidth="1"/>
    <col min="12363" max="12363" width="6.42578125" style="1" customWidth="1"/>
    <col min="12364" max="12364" width="17.42578125" style="1" customWidth="1"/>
    <col min="12365" max="12365" width="12.28515625" style="1" customWidth="1"/>
    <col min="12366" max="12474" width="10" style="1"/>
    <col min="12475" max="12475" width="1.85546875" style="1" customWidth="1"/>
    <col min="12476" max="12477" width="1" style="1" customWidth="1"/>
    <col min="12478" max="12478" width="34" style="1" customWidth="1"/>
    <col min="12479" max="12480" width="1" style="1" customWidth="1"/>
    <col min="12481" max="12481" width="17.85546875" style="1" customWidth="1"/>
    <col min="12482" max="12483" width="1" style="1" customWidth="1"/>
    <col min="12484" max="12528" width="0" style="1" hidden="1" customWidth="1"/>
    <col min="12529" max="12530" width="1" style="1" customWidth="1"/>
    <col min="12531" max="12531" width="17.85546875" style="1" customWidth="1"/>
    <col min="12532" max="12533" width="1" style="1" customWidth="1"/>
    <col min="12534" max="12543" width="0" style="1" hidden="1" customWidth="1"/>
    <col min="12544" max="12545" width="1" style="1" customWidth="1"/>
    <col min="12546" max="12546" width="17.85546875" style="1" customWidth="1"/>
    <col min="12547" max="12550" width="1" style="1" customWidth="1"/>
    <col min="12551" max="12551" width="17.85546875" style="1" customWidth="1"/>
    <col min="12552" max="12553" width="1" style="1" customWidth="1"/>
    <col min="12554" max="12598" width="0" style="1" hidden="1" customWidth="1"/>
    <col min="12599" max="12600" width="1" style="1" customWidth="1"/>
    <col min="12601" max="12601" width="17.85546875" style="1" customWidth="1"/>
    <col min="12602" max="12603" width="1" style="1" customWidth="1"/>
    <col min="12604" max="12613" width="0" style="1" hidden="1" customWidth="1"/>
    <col min="12614" max="12615" width="1" style="1" customWidth="1"/>
    <col min="12616" max="12616" width="17.85546875" style="1" customWidth="1"/>
    <col min="12617" max="12617" width="1" style="1" customWidth="1"/>
    <col min="12618" max="12618" width="2" style="1" customWidth="1"/>
    <col min="12619" max="12619" width="6.42578125" style="1" customWidth="1"/>
    <col min="12620" max="12620" width="17.42578125" style="1" customWidth="1"/>
    <col min="12621" max="12621" width="12.28515625" style="1" customWidth="1"/>
    <col min="12622" max="12730" width="10" style="1"/>
    <col min="12731" max="12731" width="1.85546875" style="1" customWidth="1"/>
    <col min="12732" max="12733" width="1" style="1" customWidth="1"/>
    <col min="12734" max="12734" width="34" style="1" customWidth="1"/>
    <col min="12735" max="12736" width="1" style="1" customWidth="1"/>
    <col min="12737" max="12737" width="17.85546875" style="1" customWidth="1"/>
    <col min="12738" max="12739" width="1" style="1" customWidth="1"/>
    <col min="12740" max="12784" width="0" style="1" hidden="1" customWidth="1"/>
    <col min="12785" max="12786" width="1" style="1" customWidth="1"/>
    <col min="12787" max="12787" width="17.85546875" style="1" customWidth="1"/>
    <col min="12788" max="12789" width="1" style="1" customWidth="1"/>
    <col min="12790" max="12799" width="0" style="1" hidden="1" customWidth="1"/>
    <col min="12800" max="12801" width="1" style="1" customWidth="1"/>
    <col min="12802" max="12802" width="17.85546875" style="1" customWidth="1"/>
    <col min="12803" max="12806" width="1" style="1" customWidth="1"/>
    <col min="12807" max="12807" width="17.85546875" style="1" customWidth="1"/>
    <col min="12808" max="12809" width="1" style="1" customWidth="1"/>
    <col min="12810" max="12854" width="0" style="1" hidden="1" customWidth="1"/>
    <col min="12855" max="12856" width="1" style="1" customWidth="1"/>
    <col min="12857" max="12857" width="17.85546875" style="1" customWidth="1"/>
    <col min="12858" max="12859" width="1" style="1" customWidth="1"/>
    <col min="12860" max="12869" width="0" style="1" hidden="1" customWidth="1"/>
    <col min="12870" max="12871" width="1" style="1" customWidth="1"/>
    <col min="12872" max="12872" width="17.85546875" style="1" customWidth="1"/>
    <col min="12873" max="12873" width="1" style="1" customWidth="1"/>
    <col min="12874" max="12874" width="2" style="1" customWidth="1"/>
    <col min="12875" max="12875" width="6.42578125" style="1" customWidth="1"/>
    <col min="12876" max="12876" width="17.42578125" style="1" customWidth="1"/>
    <col min="12877" max="12877" width="12.28515625" style="1" customWidth="1"/>
    <col min="12878" max="12986" width="10" style="1"/>
    <col min="12987" max="12987" width="1.85546875" style="1" customWidth="1"/>
    <col min="12988" max="12989" width="1" style="1" customWidth="1"/>
    <col min="12990" max="12990" width="34" style="1" customWidth="1"/>
    <col min="12991" max="12992" width="1" style="1" customWidth="1"/>
    <col min="12993" max="12993" width="17.85546875" style="1" customWidth="1"/>
    <col min="12994" max="12995" width="1" style="1" customWidth="1"/>
    <col min="12996" max="13040" width="0" style="1" hidden="1" customWidth="1"/>
    <col min="13041" max="13042" width="1" style="1" customWidth="1"/>
    <col min="13043" max="13043" width="17.85546875" style="1" customWidth="1"/>
    <col min="13044" max="13045" width="1" style="1" customWidth="1"/>
    <col min="13046" max="13055" width="0" style="1" hidden="1" customWidth="1"/>
    <col min="13056" max="13057" width="1" style="1" customWidth="1"/>
    <col min="13058" max="13058" width="17.85546875" style="1" customWidth="1"/>
    <col min="13059" max="13062" width="1" style="1" customWidth="1"/>
    <col min="13063" max="13063" width="17.85546875" style="1" customWidth="1"/>
    <col min="13064" max="13065" width="1" style="1" customWidth="1"/>
    <col min="13066" max="13110" width="0" style="1" hidden="1" customWidth="1"/>
    <col min="13111" max="13112" width="1" style="1" customWidth="1"/>
    <col min="13113" max="13113" width="17.85546875" style="1" customWidth="1"/>
    <col min="13114" max="13115" width="1" style="1" customWidth="1"/>
    <col min="13116" max="13125" width="0" style="1" hidden="1" customWidth="1"/>
    <col min="13126" max="13127" width="1" style="1" customWidth="1"/>
    <col min="13128" max="13128" width="17.85546875" style="1" customWidth="1"/>
    <col min="13129" max="13129" width="1" style="1" customWidth="1"/>
    <col min="13130" max="13130" width="2" style="1" customWidth="1"/>
    <col min="13131" max="13131" width="6.42578125" style="1" customWidth="1"/>
    <col min="13132" max="13132" width="17.42578125" style="1" customWidth="1"/>
    <col min="13133" max="13133" width="12.28515625" style="1" customWidth="1"/>
    <col min="13134" max="13242" width="10" style="1"/>
    <col min="13243" max="13243" width="1.85546875" style="1" customWidth="1"/>
    <col min="13244" max="13245" width="1" style="1" customWidth="1"/>
    <col min="13246" max="13246" width="34" style="1" customWidth="1"/>
    <col min="13247" max="13248" width="1" style="1" customWidth="1"/>
    <col min="13249" max="13249" width="17.85546875" style="1" customWidth="1"/>
    <col min="13250" max="13251" width="1" style="1" customWidth="1"/>
    <col min="13252" max="13296" width="0" style="1" hidden="1" customWidth="1"/>
    <col min="13297" max="13298" width="1" style="1" customWidth="1"/>
    <col min="13299" max="13299" width="17.85546875" style="1" customWidth="1"/>
    <col min="13300" max="13301" width="1" style="1" customWidth="1"/>
    <col min="13302" max="13311" width="0" style="1" hidden="1" customWidth="1"/>
    <col min="13312" max="13313" width="1" style="1" customWidth="1"/>
    <col min="13314" max="13314" width="17.85546875" style="1" customWidth="1"/>
    <col min="13315" max="13318" width="1" style="1" customWidth="1"/>
    <col min="13319" max="13319" width="17.85546875" style="1" customWidth="1"/>
    <col min="13320" max="13321" width="1" style="1" customWidth="1"/>
    <col min="13322" max="13366" width="0" style="1" hidden="1" customWidth="1"/>
    <col min="13367" max="13368" width="1" style="1" customWidth="1"/>
    <col min="13369" max="13369" width="17.85546875" style="1" customWidth="1"/>
    <col min="13370" max="13371" width="1" style="1" customWidth="1"/>
    <col min="13372" max="13381" width="0" style="1" hidden="1" customWidth="1"/>
    <col min="13382" max="13383" width="1" style="1" customWidth="1"/>
    <col min="13384" max="13384" width="17.85546875" style="1" customWidth="1"/>
    <col min="13385" max="13385" width="1" style="1" customWidth="1"/>
    <col min="13386" max="13386" width="2" style="1" customWidth="1"/>
    <col min="13387" max="13387" width="6.42578125" style="1" customWidth="1"/>
    <col min="13388" max="13388" width="17.42578125" style="1" customWidth="1"/>
    <col min="13389" max="13389" width="12.28515625" style="1" customWidth="1"/>
    <col min="13390" max="13498" width="10" style="1"/>
    <col min="13499" max="13499" width="1.85546875" style="1" customWidth="1"/>
    <col min="13500" max="13501" width="1" style="1" customWidth="1"/>
    <col min="13502" max="13502" width="34" style="1" customWidth="1"/>
    <col min="13503" max="13504" width="1" style="1" customWidth="1"/>
    <col min="13505" max="13505" width="17.85546875" style="1" customWidth="1"/>
    <col min="13506" max="13507" width="1" style="1" customWidth="1"/>
    <col min="13508" max="13552" width="0" style="1" hidden="1" customWidth="1"/>
    <col min="13553" max="13554" width="1" style="1" customWidth="1"/>
    <col min="13555" max="13555" width="17.85546875" style="1" customWidth="1"/>
    <col min="13556" max="13557" width="1" style="1" customWidth="1"/>
    <col min="13558" max="13567" width="0" style="1" hidden="1" customWidth="1"/>
    <col min="13568" max="13569" width="1" style="1" customWidth="1"/>
    <col min="13570" max="13570" width="17.85546875" style="1" customWidth="1"/>
    <col min="13571" max="13574" width="1" style="1" customWidth="1"/>
    <col min="13575" max="13575" width="17.85546875" style="1" customWidth="1"/>
    <col min="13576" max="13577" width="1" style="1" customWidth="1"/>
    <col min="13578" max="13622" width="0" style="1" hidden="1" customWidth="1"/>
    <col min="13623" max="13624" width="1" style="1" customWidth="1"/>
    <col min="13625" max="13625" width="17.85546875" style="1" customWidth="1"/>
    <col min="13626" max="13627" width="1" style="1" customWidth="1"/>
    <col min="13628" max="13637" width="0" style="1" hidden="1" customWidth="1"/>
    <col min="13638" max="13639" width="1" style="1" customWidth="1"/>
    <col min="13640" max="13640" width="17.85546875" style="1" customWidth="1"/>
    <col min="13641" max="13641" width="1" style="1" customWidth="1"/>
    <col min="13642" max="13642" width="2" style="1" customWidth="1"/>
    <col min="13643" max="13643" width="6.42578125" style="1" customWidth="1"/>
    <col min="13644" max="13644" width="17.42578125" style="1" customWidth="1"/>
    <col min="13645" max="13645" width="12.28515625" style="1" customWidth="1"/>
    <col min="13646" max="13754" width="10" style="1"/>
    <col min="13755" max="13755" width="1.85546875" style="1" customWidth="1"/>
    <col min="13756" max="13757" width="1" style="1" customWidth="1"/>
    <col min="13758" max="13758" width="34" style="1" customWidth="1"/>
    <col min="13759" max="13760" width="1" style="1" customWidth="1"/>
    <col min="13761" max="13761" width="17.85546875" style="1" customWidth="1"/>
    <col min="13762" max="13763" width="1" style="1" customWidth="1"/>
    <col min="13764" max="13808" width="0" style="1" hidden="1" customWidth="1"/>
    <col min="13809" max="13810" width="1" style="1" customWidth="1"/>
    <col min="13811" max="13811" width="17.85546875" style="1" customWidth="1"/>
    <col min="13812" max="13813" width="1" style="1" customWidth="1"/>
    <col min="13814" max="13823" width="0" style="1" hidden="1" customWidth="1"/>
    <col min="13824" max="13825" width="1" style="1" customWidth="1"/>
    <col min="13826" max="13826" width="17.85546875" style="1" customWidth="1"/>
    <col min="13827" max="13830" width="1" style="1" customWidth="1"/>
    <col min="13831" max="13831" width="17.85546875" style="1" customWidth="1"/>
    <col min="13832" max="13833" width="1" style="1" customWidth="1"/>
    <col min="13834" max="13878" width="0" style="1" hidden="1" customWidth="1"/>
    <col min="13879" max="13880" width="1" style="1" customWidth="1"/>
    <col min="13881" max="13881" width="17.85546875" style="1" customWidth="1"/>
    <col min="13882" max="13883" width="1" style="1" customWidth="1"/>
    <col min="13884" max="13893" width="0" style="1" hidden="1" customWidth="1"/>
    <col min="13894" max="13895" width="1" style="1" customWidth="1"/>
    <col min="13896" max="13896" width="17.85546875" style="1" customWidth="1"/>
    <col min="13897" max="13897" width="1" style="1" customWidth="1"/>
    <col min="13898" max="13898" width="2" style="1" customWidth="1"/>
    <col min="13899" max="13899" width="6.42578125" style="1" customWidth="1"/>
    <col min="13900" max="13900" width="17.42578125" style="1" customWidth="1"/>
    <col min="13901" max="13901" width="12.28515625" style="1" customWidth="1"/>
    <col min="13902" max="14010" width="10" style="1"/>
    <col min="14011" max="14011" width="1.85546875" style="1" customWidth="1"/>
    <col min="14012" max="14013" width="1" style="1" customWidth="1"/>
    <col min="14014" max="14014" width="34" style="1" customWidth="1"/>
    <col min="14015" max="14016" width="1" style="1" customWidth="1"/>
    <col min="14017" max="14017" width="17.85546875" style="1" customWidth="1"/>
    <col min="14018" max="14019" width="1" style="1" customWidth="1"/>
    <col min="14020" max="14064" width="0" style="1" hidden="1" customWidth="1"/>
    <col min="14065" max="14066" width="1" style="1" customWidth="1"/>
    <col min="14067" max="14067" width="17.85546875" style="1" customWidth="1"/>
    <col min="14068" max="14069" width="1" style="1" customWidth="1"/>
    <col min="14070" max="14079" width="0" style="1" hidden="1" customWidth="1"/>
    <col min="14080" max="14081" width="1" style="1" customWidth="1"/>
    <col min="14082" max="14082" width="17.85546875" style="1" customWidth="1"/>
    <col min="14083" max="14086" width="1" style="1" customWidth="1"/>
    <col min="14087" max="14087" width="17.85546875" style="1" customWidth="1"/>
    <col min="14088" max="14089" width="1" style="1" customWidth="1"/>
    <col min="14090" max="14134" width="0" style="1" hidden="1" customWidth="1"/>
    <col min="14135" max="14136" width="1" style="1" customWidth="1"/>
    <col min="14137" max="14137" width="17.85546875" style="1" customWidth="1"/>
    <col min="14138" max="14139" width="1" style="1" customWidth="1"/>
    <col min="14140" max="14149" width="0" style="1" hidden="1" customWidth="1"/>
    <col min="14150" max="14151" width="1" style="1" customWidth="1"/>
    <col min="14152" max="14152" width="17.85546875" style="1" customWidth="1"/>
    <col min="14153" max="14153" width="1" style="1" customWidth="1"/>
    <col min="14154" max="14154" width="2" style="1" customWidth="1"/>
    <col min="14155" max="14155" width="6.42578125" style="1" customWidth="1"/>
    <col min="14156" max="14156" width="17.42578125" style="1" customWidth="1"/>
    <col min="14157" max="14157" width="12.28515625" style="1" customWidth="1"/>
    <col min="14158" max="14266" width="10" style="1"/>
    <col min="14267" max="14267" width="1.85546875" style="1" customWidth="1"/>
    <col min="14268" max="14269" width="1" style="1" customWidth="1"/>
    <col min="14270" max="14270" width="34" style="1" customWidth="1"/>
    <col min="14271" max="14272" width="1" style="1" customWidth="1"/>
    <col min="14273" max="14273" width="17.85546875" style="1" customWidth="1"/>
    <col min="14274" max="14275" width="1" style="1" customWidth="1"/>
    <col min="14276" max="14320" width="0" style="1" hidden="1" customWidth="1"/>
    <col min="14321" max="14322" width="1" style="1" customWidth="1"/>
    <col min="14323" max="14323" width="17.85546875" style="1" customWidth="1"/>
    <col min="14324" max="14325" width="1" style="1" customWidth="1"/>
    <col min="14326" max="14335" width="0" style="1" hidden="1" customWidth="1"/>
    <col min="14336" max="14337" width="1" style="1" customWidth="1"/>
    <col min="14338" max="14338" width="17.85546875" style="1" customWidth="1"/>
    <col min="14339" max="14342" width="1" style="1" customWidth="1"/>
    <col min="14343" max="14343" width="17.85546875" style="1" customWidth="1"/>
    <col min="14344" max="14345" width="1" style="1" customWidth="1"/>
    <col min="14346" max="14390" width="0" style="1" hidden="1" customWidth="1"/>
    <col min="14391" max="14392" width="1" style="1" customWidth="1"/>
    <col min="14393" max="14393" width="17.85546875" style="1" customWidth="1"/>
    <col min="14394" max="14395" width="1" style="1" customWidth="1"/>
    <col min="14396" max="14405" width="0" style="1" hidden="1" customWidth="1"/>
    <col min="14406" max="14407" width="1" style="1" customWidth="1"/>
    <col min="14408" max="14408" width="17.85546875" style="1" customWidth="1"/>
    <col min="14409" max="14409" width="1" style="1" customWidth="1"/>
    <col min="14410" max="14410" width="2" style="1" customWidth="1"/>
    <col min="14411" max="14411" width="6.42578125" style="1" customWidth="1"/>
    <col min="14412" max="14412" width="17.42578125" style="1" customWidth="1"/>
    <col min="14413" max="14413" width="12.28515625" style="1" customWidth="1"/>
    <col min="14414" max="14522" width="10" style="1"/>
    <col min="14523" max="14523" width="1.85546875" style="1" customWidth="1"/>
    <col min="14524" max="14525" width="1" style="1" customWidth="1"/>
    <col min="14526" max="14526" width="34" style="1" customWidth="1"/>
    <col min="14527" max="14528" width="1" style="1" customWidth="1"/>
    <col min="14529" max="14529" width="17.85546875" style="1" customWidth="1"/>
    <col min="14530" max="14531" width="1" style="1" customWidth="1"/>
    <col min="14532" max="14576" width="0" style="1" hidden="1" customWidth="1"/>
    <col min="14577" max="14578" width="1" style="1" customWidth="1"/>
    <col min="14579" max="14579" width="17.85546875" style="1" customWidth="1"/>
    <col min="14580" max="14581" width="1" style="1" customWidth="1"/>
    <col min="14582" max="14591" width="0" style="1" hidden="1" customWidth="1"/>
    <col min="14592" max="14593" width="1" style="1" customWidth="1"/>
    <col min="14594" max="14594" width="17.85546875" style="1" customWidth="1"/>
    <col min="14595" max="14598" width="1" style="1" customWidth="1"/>
    <col min="14599" max="14599" width="17.85546875" style="1" customWidth="1"/>
    <col min="14600" max="14601" width="1" style="1" customWidth="1"/>
    <col min="14602" max="14646" width="0" style="1" hidden="1" customWidth="1"/>
    <col min="14647" max="14648" width="1" style="1" customWidth="1"/>
    <col min="14649" max="14649" width="17.85546875" style="1" customWidth="1"/>
    <col min="14650" max="14651" width="1" style="1" customWidth="1"/>
    <col min="14652" max="14661" width="0" style="1" hidden="1" customWidth="1"/>
    <col min="14662" max="14663" width="1" style="1" customWidth="1"/>
    <col min="14664" max="14664" width="17.85546875" style="1" customWidth="1"/>
    <col min="14665" max="14665" width="1" style="1" customWidth="1"/>
    <col min="14666" max="14666" width="2" style="1" customWidth="1"/>
    <col min="14667" max="14667" width="6.42578125" style="1" customWidth="1"/>
    <col min="14668" max="14668" width="17.42578125" style="1" customWidth="1"/>
    <col min="14669" max="14669" width="12.28515625" style="1" customWidth="1"/>
    <col min="14670" max="14778" width="10" style="1"/>
    <col min="14779" max="14779" width="1.85546875" style="1" customWidth="1"/>
    <col min="14780" max="14781" width="1" style="1" customWidth="1"/>
    <col min="14782" max="14782" width="34" style="1" customWidth="1"/>
    <col min="14783" max="14784" width="1" style="1" customWidth="1"/>
    <col min="14785" max="14785" width="17.85546875" style="1" customWidth="1"/>
    <col min="14786" max="14787" width="1" style="1" customWidth="1"/>
    <col min="14788" max="14832" width="0" style="1" hidden="1" customWidth="1"/>
    <col min="14833" max="14834" width="1" style="1" customWidth="1"/>
    <col min="14835" max="14835" width="17.85546875" style="1" customWidth="1"/>
    <col min="14836" max="14837" width="1" style="1" customWidth="1"/>
    <col min="14838" max="14847" width="0" style="1" hidden="1" customWidth="1"/>
    <col min="14848" max="14849" width="1" style="1" customWidth="1"/>
    <col min="14850" max="14850" width="17.85546875" style="1" customWidth="1"/>
    <col min="14851" max="14854" width="1" style="1" customWidth="1"/>
    <col min="14855" max="14855" width="17.85546875" style="1" customWidth="1"/>
    <col min="14856" max="14857" width="1" style="1" customWidth="1"/>
    <col min="14858" max="14902" width="0" style="1" hidden="1" customWidth="1"/>
    <col min="14903" max="14904" width="1" style="1" customWidth="1"/>
    <col min="14905" max="14905" width="17.85546875" style="1" customWidth="1"/>
    <col min="14906" max="14907" width="1" style="1" customWidth="1"/>
    <col min="14908" max="14917" width="0" style="1" hidden="1" customWidth="1"/>
    <col min="14918" max="14919" width="1" style="1" customWidth="1"/>
    <col min="14920" max="14920" width="17.85546875" style="1" customWidth="1"/>
    <col min="14921" max="14921" width="1" style="1" customWidth="1"/>
    <col min="14922" max="14922" width="2" style="1" customWidth="1"/>
    <col min="14923" max="14923" width="6.42578125" style="1" customWidth="1"/>
    <col min="14924" max="14924" width="17.42578125" style="1" customWidth="1"/>
    <col min="14925" max="14925" width="12.28515625" style="1" customWidth="1"/>
    <col min="14926" max="15034" width="10" style="1"/>
    <col min="15035" max="15035" width="1.85546875" style="1" customWidth="1"/>
    <col min="15036" max="15037" width="1" style="1" customWidth="1"/>
    <col min="15038" max="15038" width="34" style="1" customWidth="1"/>
    <col min="15039" max="15040" width="1" style="1" customWidth="1"/>
    <col min="15041" max="15041" width="17.85546875" style="1" customWidth="1"/>
    <col min="15042" max="15043" width="1" style="1" customWidth="1"/>
    <col min="15044" max="15088" width="0" style="1" hidden="1" customWidth="1"/>
    <col min="15089" max="15090" width="1" style="1" customWidth="1"/>
    <col min="15091" max="15091" width="17.85546875" style="1" customWidth="1"/>
    <col min="15092" max="15093" width="1" style="1" customWidth="1"/>
    <col min="15094" max="15103" width="0" style="1" hidden="1" customWidth="1"/>
    <col min="15104" max="15105" width="1" style="1" customWidth="1"/>
    <col min="15106" max="15106" width="17.85546875" style="1" customWidth="1"/>
    <col min="15107" max="15110" width="1" style="1" customWidth="1"/>
    <col min="15111" max="15111" width="17.85546875" style="1" customWidth="1"/>
    <col min="15112" max="15113" width="1" style="1" customWidth="1"/>
    <col min="15114" max="15158" width="0" style="1" hidden="1" customWidth="1"/>
    <col min="15159" max="15160" width="1" style="1" customWidth="1"/>
    <col min="15161" max="15161" width="17.85546875" style="1" customWidth="1"/>
    <col min="15162" max="15163" width="1" style="1" customWidth="1"/>
    <col min="15164" max="15173" width="0" style="1" hidden="1" customWidth="1"/>
    <col min="15174" max="15175" width="1" style="1" customWidth="1"/>
    <col min="15176" max="15176" width="17.85546875" style="1" customWidth="1"/>
    <col min="15177" max="15177" width="1" style="1" customWidth="1"/>
    <col min="15178" max="15178" width="2" style="1" customWidth="1"/>
    <col min="15179" max="15179" width="6.42578125" style="1" customWidth="1"/>
    <col min="15180" max="15180" width="17.42578125" style="1" customWidth="1"/>
    <col min="15181" max="15181" width="12.28515625" style="1" customWidth="1"/>
    <col min="15182" max="15290" width="10" style="1"/>
    <col min="15291" max="15291" width="1.85546875" style="1" customWidth="1"/>
    <col min="15292" max="15293" width="1" style="1" customWidth="1"/>
    <col min="15294" max="15294" width="34" style="1" customWidth="1"/>
    <col min="15295" max="15296" width="1" style="1" customWidth="1"/>
    <col min="15297" max="15297" width="17.85546875" style="1" customWidth="1"/>
    <col min="15298" max="15299" width="1" style="1" customWidth="1"/>
    <col min="15300" max="15344" width="0" style="1" hidden="1" customWidth="1"/>
    <col min="15345" max="15346" width="1" style="1" customWidth="1"/>
    <col min="15347" max="15347" width="17.85546875" style="1" customWidth="1"/>
    <col min="15348" max="15349" width="1" style="1" customWidth="1"/>
    <col min="15350" max="15359" width="0" style="1" hidden="1" customWidth="1"/>
    <col min="15360" max="15361" width="1" style="1" customWidth="1"/>
    <col min="15362" max="15362" width="17.85546875" style="1" customWidth="1"/>
    <col min="15363" max="15366" width="1" style="1" customWidth="1"/>
    <col min="15367" max="15367" width="17.85546875" style="1" customWidth="1"/>
    <col min="15368" max="15369" width="1" style="1" customWidth="1"/>
    <col min="15370" max="15414" width="0" style="1" hidden="1" customWidth="1"/>
    <col min="15415" max="15416" width="1" style="1" customWidth="1"/>
    <col min="15417" max="15417" width="17.85546875" style="1" customWidth="1"/>
    <col min="15418" max="15419" width="1" style="1" customWidth="1"/>
    <col min="15420" max="15429" width="0" style="1" hidden="1" customWidth="1"/>
    <col min="15430" max="15431" width="1" style="1" customWidth="1"/>
    <col min="15432" max="15432" width="17.85546875" style="1" customWidth="1"/>
    <col min="15433" max="15433" width="1" style="1" customWidth="1"/>
    <col min="15434" max="15434" width="2" style="1" customWidth="1"/>
    <col min="15435" max="15435" width="6.42578125" style="1" customWidth="1"/>
    <col min="15436" max="15436" width="17.42578125" style="1" customWidth="1"/>
    <col min="15437" max="15437" width="12.28515625" style="1" customWidth="1"/>
    <col min="15438" max="15546" width="10" style="1"/>
    <col min="15547" max="15547" width="1.85546875" style="1" customWidth="1"/>
    <col min="15548" max="15549" width="1" style="1" customWidth="1"/>
    <col min="15550" max="15550" width="34" style="1" customWidth="1"/>
    <col min="15551" max="15552" width="1" style="1" customWidth="1"/>
    <col min="15553" max="15553" width="17.85546875" style="1" customWidth="1"/>
    <col min="15554" max="15555" width="1" style="1" customWidth="1"/>
    <col min="15556" max="15600" width="0" style="1" hidden="1" customWidth="1"/>
    <col min="15601" max="15602" width="1" style="1" customWidth="1"/>
    <col min="15603" max="15603" width="17.85546875" style="1" customWidth="1"/>
    <col min="15604" max="15605" width="1" style="1" customWidth="1"/>
    <col min="15606" max="15615" width="0" style="1" hidden="1" customWidth="1"/>
    <col min="15616" max="15617" width="1" style="1" customWidth="1"/>
    <col min="15618" max="15618" width="17.85546875" style="1" customWidth="1"/>
    <col min="15619" max="15622" width="1" style="1" customWidth="1"/>
    <col min="15623" max="15623" width="17.85546875" style="1" customWidth="1"/>
    <col min="15624" max="15625" width="1" style="1" customWidth="1"/>
    <col min="15626" max="15670" width="0" style="1" hidden="1" customWidth="1"/>
    <col min="15671" max="15672" width="1" style="1" customWidth="1"/>
    <col min="15673" max="15673" width="17.85546875" style="1" customWidth="1"/>
    <col min="15674" max="15675" width="1" style="1" customWidth="1"/>
    <col min="15676" max="15685" width="0" style="1" hidden="1" customWidth="1"/>
    <col min="15686" max="15687" width="1" style="1" customWidth="1"/>
    <col min="15688" max="15688" width="17.85546875" style="1" customWidth="1"/>
    <col min="15689" max="15689" width="1" style="1" customWidth="1"/>
    <col min="15690" max="15690" width="2" style="1" customWidth="1"/>
    <col min="15691" max="15691" width="6.42578125" style="1" customWidth="1"/>
    <col min="15692" max="15692" width="17.42578125" style="1" customWidth="1"/>
    <col min="15693" max="15693" width="12.28515625" style="1" customWidth="1"/>
    <col min="15694" max="15802" width="10" style="1"/>
    <col min="15803" max="15803" width="1.85546875" style="1" customWidth="1"/>
    <col min="15804" max="15805" width="1" style="1" customWidth="1"/>
    <col min="15806" max="15806" width="34" style="1" customWidth="1"/>
    <col min="15807" max="15808" width="1" style="1" customWidth="1"/>
    <col min="15809" max="15809" width="17.85546875" style="1" customWidth="1"/>
    <col min="15810" max="15811" width="1" style="1" customWidth="1"/>
    <col min="15812" max="15856" width="0" style="1" hidden="1" customWidth="1"/>
    <col min="15857" max="15858" width="1" style="1" customWidth="1"/>
    <col min="15859" max="15859" width="17.85546875" style="1" customWidth="1"/>
    <col min="15860" max="15861" width="1" style="1" customWidth="1"/>
    <col min="15862" max="15871" width="0" style="1" hidden="1" customWidth="1"/>
    <col min="15872" max="15873" width="1" style="1" customWidth="1"/>
    <col min="15874" max="15874" width="17.85546875" style="1" customWidth="1"/>
    <col min="15875" max="15878" width="1" style="1" customWidth="1"/>
    <col min="15879" max="15879" width="17.85546875" style="1" customWidth="1"/>
    <col min="15880" max="15881" width="1" style="1" customWidth="1"/>
    <col min="15882" max="15926" width="0" style="1" hidden="1" customWidth="1"/>
    <col min="15927" max="15928" width="1" style="1" customWidth="1"/>
    <col min="15929" max="15929" width="17.85546875" style="1" customWidth="1"/>
    <col min="15930" max="15931" width="1" style="1" customWidth="1"/>
    <col min="15932" max="15941" width="0" style="1" hidden="1" customWidth="1"/>
    <col min="15942" max="15943" width="1" style="1" customWidth="1"/>
    <col min="15944" max="15944" width="17.85546875" style="1" customWidth="1"/>
    <col min="15945" max="15945" width="1" style="1" customWidth="1"/>
    <col min="15946" max="15946" width="2" style="1" customWidth="1"/>
    <col min="15947" max="15947" width="6.42578125" style="1" customWidth="1"/>
    <col min="15948" max="15948" width="17.42578125" style="1" customWidth="1"/>
    <col min="15949" max="15949" width="12.28515625" style="1" customWidth="1"/>
    <col min="15950" max="16058" width="10" style="1"/>
    <col min="16059" max="16059" width="1.85546875" style="1" customWidth="1"/>
    <col min="16060" max="16061" width="1" style="1" customWidth="1"/>
    <col min="16062" max="16062" width="34" style="1" customWidth="1"/>
    <col min="16063" max="16064" width="1" style="1" customWidth="1"/>
    <col min="16065" max="16065" width="17.85546875" style="1" customWidth="1"/>
    <col min="16066" max="16067" width="1" style="1" customWidth="1"/>
    <col min="16068" max="16112" width="0" style="1" hidden="1" customWidth="1"/>
    <col min="16113" max="16114" width="1" style="1" customWidth="1"/>
    <col min="16115" max="16115" width="17.85546875" style="1" customWidth="1"/>
    <col min="16116" max="16117" width="1" style="1" customWidth="1"/>
    <col min="16118" max="16127" width="0" style="1" hidden="1" customWidth="1"/>
    <col min="16128" max="16129" width="1" style="1" customWidth="1"/>
    <col min="16130" max="16130" width="17.85546875" style="1" customWidth="1"/>
    <col min="16131" max="16134" width="1" style="1" customWidth="1"/>
    <col min="16135" max="16135" width="17.85546875" style="1" customWidth="1"/>
    <col min="16136" max="16137" width="1" style="1" customWidth="1"/>
    <col min="16138" max="16182" width="0" style="1" hidden="1" customWidth="1"/>
    <col min="16183" max="16184" width="1" style="1" customWidth="1"/>
    <col min="16185" max="16185" width="17.85546875" style="1" customWidth="1"/>
    <col min="16186" max="16187" width="1" style="1" customWidth="1"/>
    <col min="16188" max="16197" width="0" style="1" hidden="1" customWidth="1"/>
    <col min="16198" max="16199" width="1" style="1" customWidth="1"/>
    <col min="16200" max="16200" width="17.85546875" style="1" customWidth="1"/>
    <col min="16201" max="16201" width="1" style="1" customWidth="1"/>
    <col min="16202" max="16202" width="2" style="1" customWidth="1"/>
    <col min="16203" max="16203" width="6.42578125" style="1" customWidth="1"/>
    <col min="16204" max="16204" width="17.42578125" style="1" customWidth="1"/>
    <col min="16205" max="16205" width="12.28515625" style="1" customWidth="1"/>
    <col min="16206" max="16384" width="10" style="1"/>
  </cols>
  <sheetData>
    <row r="1" spans="4:77" x14ac:dyDescent="0.2">
      <c r="M1" s="1">
        <f>1770000000+11234076861+1105000000</f>
        <v>14109076861</v>
      </c>
    </row>
    <row r="2" spans="4:77" ht="5.25" customHeight="1" x14ac:dyDescent="0.2"/>
    <row r="4" spans="4:77" x14ac:dyDescent="0.2">
      <c r="D4" s="10"/>
      <c r="E4" s="10"/>
      <c r="F4" s="10"/>
    </row>
    <row r="7" spans="4:77" ht="15.75" x14ac:dyDescent="0.25">
      <c r="D7" s="293" t="s">
        <v>410</v>
      </c>
      <c r="E7" s="348"/>
      <c r="F7" s="348"/>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row>
    <row r="8" spans="4:77" ht="15" customHeight="1" x14ac:dyDescent="0.2">
      <c r="D8" s="4"/>
      <c r="E8" s="320"/>
      <c r="F8" s="158"/>
      <c r="G8" s="630" t="str">
        <f>[54]summary!H8</f>
        <v>2020/21</v>
      </c>
      <c r="H8" s="630"/>
      <c r="I8" s="630"/>
      <c r="J8" s="630"/>
      <c r="K8" s="630"/>
      <c r="L8" s="631"/>
      <c r="M8" s="631"/>
      <c r="N8" s="631"/>
      <c r="O8" s="631"/>
      <c r="P8" s="631"/>
      <c r="Q8" s="631"/>
      <c r="R8" s="631"/>
      <c r="S8" s="631"/>
      <c r="T8" s="631"/>
      <c r="U8" s="631"/>
      <c r="V8" s="631"/>
      <c r="W8" s="631"/>
      <c r="X8" s="631"/>
      <c r="Y8" s="631"/>
      <c r="Z8" s="631"/>
      <c r="AA8" s="631"/>
      <c r="AB8" s="631"/>
      <c r="AC8" s="631"/>
      <c r="AD8" s="631"/>
      <c r="AE8" s="631"/>
      <c r="AF8" s="631"/>
      <c r="AG8" s="631"/>
      <c r="AH8" s="631"/>
      <c r="AI8" s="631"/>
      <c r="AJ8" s="631"/>
      <c r="AK8" s="631"/>
      <c r="AL8" s="631"/>
      <c r="AM8" s="631"/>
      <c r="AN8" s="631"/>
      <c r="AO8" s="631"/>
      <c r="AP8" s="631"/>
      <c r="AQ8" s="631"/>
      <c r="AR8" s="631"/>
      <c r="AS8" s="631"/>
      <c r="AT8" s="631"/>
      <c r="AU8" s="631"/>
      <c r="AV8" s="631"/>
      <c r="AW8" s="631"/>
      <c r="AX8" s="631"/>
      <c r="AY8" s="631"/>
      <c r="AZ8" s="631"/>
      <c r="BA8" s="631"/>
      <c r="BB8" s="631"/>
      <c r="BC8" s="631"/>
      <c r="BD8" s="631"/>
      <c r="BE8" s="631"/>
      <c r="BF8" s="631"/>
      <c r="BG8" s="631"/>
      <c r="BH8" s="631"/>
      <c r="BI8" s="631"/>
      <c r="BJ8" s="631"/>
      <c r="BK8" s="631"/>
      <c r="BL8" s="631"/>
      <c r="BM8" s="631"/>
      <c r="BN8" s="631"/>
      <c r="BO8" s="631"/>
      <c r="BP8" s="631"/>
      <c r="BQ8" s="631"/>
      <c r="BR8" s="631"/>
      <c r="BS8" s="631"/>
      <c r="BT8" s="631"/>
      <c r="BU8" s="395"/>
      <c r="BV8" s="395"/>
      <c r="BW8" s="9"/>
    </row>
    <row r="9" spans="4:77" ht="18" customHeight="1" x14ac:dyDescent="0.2">
      <c r="D9" s="9"/>
      <c r="E9" s="156"/>
      <c r="G9" s="19" t="str">
        <f>[54]domlongtermissues!G9</f>
        <v>Revised</v>
      </c>
      <c r="H9" s="19"/>
      <c r="I9" s="19"/>
      <c r="J9" s="36"/>
      <c r="K9" s="19"/>
      <c r="L9" s="19" t="s">
        <v>4</v>
      </c>
      <c r="M9" s="19"/>
      <c r="N9" s="19"/>
      <c r="O9" s="36"/>
      <c r="P9" s="19"/>
      <c r="Q9" s="19" t="s">
        <v>5</v>
      </c>
      <c r="R9" s="19"/>
      <c r="S9" s="19"/>
      <c r="T9" s="36"/>
      <c r="U9" s="19"/>
      <c r="V9" s="19" t="s">
        <v>6</v>
      </c>
      <c r="W9" s="19"/>
      <c r="X9" s="19"/>
      <c r="Y9" s="36"/>
      <c r="Z9" s="19"/>
      <c r="AA9" s="19" t="s">
        <v>7</v>
      </c>
      <c r="AB9" s="19"/>
      <c r="AC9" s="19"/>
      <c r="AD9" s="36"/>
      <c r="AE9" s="19"/>
      <c r="AF9" s="19" t="s">
        <v>8</v>
      </c>
      <c r="AG9" s="19"/>
      <c r="AH9" s="19"/>
      <c r="AI9" s="36"/>
      <c r="AJ9" s="19"/>
      <c r="AK9" s="19" t="s">
        <v>9</v>
      </c>
      <c r="AL9" s="19"/>
      <c r="AM9" s="19"/>
      <c r="AN9" s="36"/>
      <c r="AO9" s="19"/>
      <c r="AP9" s="19" t="s">
        <v>10</v>
      </c>
      <c r="AQ9" s="19"/>
      <c r="AR9" s="19"/>
      <c r="AS9" s="36"/>
      <c r="AT9" s="19"/>
      <c r="AU9" s="19" t="s">
        <v>11</v>
      </c>
      <c r="AV9" s="19"/>
      <c r="AW9" s="19"/>
      <c r="AX9" s="36"/>
      <c r="AY9" s="19"/>
      <c r="AZ9" s="19" t="s">
        <v>12</v>
      </c>
      <c r="BA9" s="19"/>
      <c r="BB9" s="19"/>
      <c r="BC9" s="36"/>
      <c r="BD9" s="19"/>
      <c r="BE9" s="19" t="s">
        <v>13</v>
      </c>
      <c r="BF9" s="19"/>
      <c r="BG9" s="19"/>
      <c r="BH9" s="36"/>
      <c r="BI9" s="19"/>
      <c r="BJ9" s="19" t="s">
        <v>14</v>
      </c>
      <c r="BK9" s="19"/>
      <c r="BL9" s="19"/>
      <c r="BM9" s="36"/>
      <c r="BN9" s="19"/>
      <c r="BO9" s="19" t="s">
        <v>15</v>
      </c>
      <c r="BP9" s="19"/>
      <c r="BQ9" s="19"/>
      <c r="BR9" s="36"/>
      <c r="BS9" s="19"/>
      <c r="BT9" s="19" t="s">
        <v>16</v>
      </c>
      <c r="BU9" s="19"/>
      <c r="BV9" s="19"/>
      <c r="BW9" s="9"/>
    </row>
    <row r="10" spans="4:77" x14ac:dyDescent="0.2">
      <c r="D10" s="300" t="s">
        <v>17</v>
      </c>
      <c r="E10" s="353"/>
      <c r="F10" s="354"/>
      <c r="G10" s="89" t="s">
        <v>18</v>
      </c>
      <c r="H10" s="89"/>
      <c r="I10" s="89"/>
      <c r="J10" s="302"/>
      <c r="K10" s="89"/>
      <c r="L10" s="89"/>
      <c r="M10" s="89"/>
      <c r="N10" s="89"/>
      <c r="O10" s="302"/>
      <c r="P10" s="89"/>
      <c r="Q10" s="89"/>
      <c r="R10" s="89"/>
      <c r="S10" s="89"/>
      <c r="T10" s="302"/>
      <c r="U10" s="89"/>
      <c r="V10" s="89"/>
      <c r="W10" s="89"/>
      <c r="X10" s="89"/>
      <c r="Y10" s="302"/>
      <c r="Z10" s="89"/>
      <c r="AA10" s="89"/>
      <c r="AB10" s="89"/>
      <c r="AC10" s="89"/>
      <c r="AD10" s="302"/>
      <c r="AE10" s="89"/>
      <c r="AF10" s="89"/>
      <c r="AG10" s="89"/>
      <c r="AH10" s="89"/>
      <c r="AI10" s="302"/>
      <c r="AJ10" s="89"/>
      <c r="AK10" s="89"/>
      <c r="AL10" s="89"/>
      <c r="AM10" s="89"/>
      <c r="AN10" s="302"/>
      <c r="AO10" s="89"/>
      <c r="AP10" s="89"/>
      <c r="AQ10" s="89"/>
      <c r="AR10" s="89"/>
      <c r="AS10" s="302"/>
      <c r="AT10" s="89"/>
      <c r="AU10" s="89"/>
      <c r="AV10" s="89"/>
      <c r="AW10" s="89"/>
      <c r="AX10" s="302"/>
      <c r="AY10" s="89"/>
      <c r="AZ10" s="89"/>
      <c r="BA10" s="89"/>
      <c r="BB10" s="89"/>
      <c r="BC10" s="302"/>
      <c r="BD10" s="89"/>
      <c r="BE10" s="89"/>
      <c r="BF10" s="89"/>
      <c r="BG10" s="89"/>
      <c r="BH10" s="302"/>
      <c r="BI10" s="89"/>
      <c r="BJ10" s="89"/>
      <c r="BK10" s="89"/>
      <c r="BL10" s="89"/>
      <c r="BM10" s="302"/>
      <c r="BN10" s="89"/>
      <c r="BO10" s="89"/>
      <c r="BP10" s="89"/>
      <c r="BQ10" s="89"/>
      <c r="BR10" s="302"/>
      <c r="BS10" s="89"/>
      <c r="BT10" s="89"/>
      <c r="BU10" s="89"/>
      <c r="BV10" s="89"/>
      <c r="BW10" s="9"/>
    </row>
    <row r="11" spans="4:77" x14ac:dyDescent="0.2">
      <c r="D11" s="356"/>
      <c r="E11" s="322"/>
      <c r="F11" s="323"/>
      <c r="G11" s="323"/>
      <c r="H11" s="323"/>
      <c r="I11" s="323"/>
      <c r="J11" s="322"/>
      <c r="K11" s="323"/>
      <c r="L11" s="323"/>
      <c r="M11" s="323"/>
      <c r="N11" s="323"/>
      <c r="O11" s="322"/>
      <c r="P11" s="323"/>
      <c r="Q11" s="323"/>
      <c r="R11" s="323"/>
      <c r="S11" s="323"/>
      <c r="T11" s="322"/>
      <c r="U11" s="323"/>
      <c r="V11" s="323"/>
      <c r="W11" s="323"/>
      <c r="X11" s="323"/>
      <c r="Y11" s="322"/>
      <c r="Z11" s="323"/>
      <c r="AA11" s="323"/>
      <c r="AB11" s="323"/>
      <c r="AC11" s="323"/>
      <c r="AD11" s="322"/>
      <c r="AE11" s="323"/>
      <c r="AF11" s="323"/>
      <c r="AG11" s="323"/>
      <c r="AH11" s="323"/>
      <c r="AI11" s="322"/>
      <c r="AJ11" s="323"/>
      <c r="AK11" s="323"/>
      <c r="AL11" s="323"/>
      <c r="AM11" s="323"/>
      <c r="AN11" s="322"/>
      <c r="AO11" s="323"/>
      <c r="AP11" s="323"/>
      <c r="AQ11" s="323"/>
      <c r="AR11" s="323"/>
      <c r="AS11" s="322"/>
      <c r="AT11" s="323"/>
      <c r="AU11" s="323"/>
      <c r="AV11" s="323"/>
      <c r="AW11" s="323"/>
      <c r="AX11" s="322"/>
      <c r="AY11" s="323"/>
      <c r="AZ11" s="323"/>
      <c r="BA11" s="323"/>
      <c r="BB11" s="323"/>
      <c r="BC11" s="322"/>
      <c r="BD11" s="323"/>
      <c r="BE11" s="323"/>
      <c r="BF11" s="323"/>
      <c r="BG11" s="323"/>
      <c r="BH11" s="322"/>
      <c r="BI11" s="323"/>
      <c r="BJ11" s="323"/>
      <c r="BK11" s="323"/>
      <c r="BL11" s="323"/>
      <c r="BM11" s="322"/>
      <c r="BN11" s="323"/>
      <c r="BO11" s="323"/>
      <c r="BP11" s="323"/>
      <c r="BQ11" s="323"/>
      <c r="BR11" s="322"/>
      <c r="BS11" s="323"/>
      <c r="BW11" s="9"/>
    </row>
    <row r="12" spans="4:77" s="10" customFormat="1" x14ac:dyDescent="0.2">
      <c r="D12" s="79" t="s">
        <v>411</v>
      </c>
      <c r="E12" s="145"/>
      <c r="G12" s="275">
        <f>SUM(G13:G16)</f>
        <v>52465000</v>
      </c>
      <c r="H12" s="275"/>
      <c r="I12" s="275"/>
      <c r="J12" s="274"/>
      <c r="K12" s="275"/>
      <c r="L12" s="325">
        <f>SUM(L13:L16)</f>
        <v>1687473</v>
      </c>
      <c r="M12" s="325"/>
      <c r="N12" s="325"/>
      <c r="O12" s="324"/>
      <c r="P12" s="325"/>
      <c r="Q12" s="325">
        <f>SUM(Q13:Q16)</f>
        <v>364729</v>
      </c>
      <c r="R12" s="325"/>
      <c r="S12" s="325"/>
      <c r="T12" s="324"/>
      <c r="U12" s="325"/>
      <c r="V12" s="325">
        <f>SUM(V13:V16)</f>
        <v>141048</v>
      </c>
      <c r="W12" s="325"/>
      <c r="X12" s="325"/>
      <c r="Y12" s="324"/>
      <c r="Z12" s="325"/>
      <c r="AA12" s="325">
        <f>SUM(AA13:AA16)</f>
        <v>339545</v>
      </c>
      <c r="AB12" s="325"/>
      <c r="AC12" s="325"/>
      <c r="AD12" s="324"/>
      <c r="AE12" s="325"/>
      <c r="AF12" s="325">
        <f>SUM(AF13:AF16)</f>
        <v>253446</v>
      </c>
      <c r="AG12" s="325"/>
      <c r="AH12" s="325"/>
      <c r="AI12" s="324"/>
      <c r="AJ12" s="325"/>
      <c r="AK12" s="325">
        <f>SUM(AK13:AK16)</f>
        <v>241575</v>
      </c>
      <c r="AL12" s="325"/>
      <c r="AM12" s="325"/>
      <c r="AN12" s="324"/>
      <c r="AO12" s="325"/>
      <c r="AP12" s="325">
        <f>SUM(AP13:AP16)</f>
        <v>333330</v>
      </c>
      <c r="AQ12" s="325"/>
      <c r="AR12" s="325"/>
      <c r="AS12" s="324"/>
      <c r="AT12" s="325"/>
      <c r="AU12" s="325">
        <f>SUM(AU13:AU16)</f>
        <v>314155</v>
      </c>
      <c r="AV12" s="325"/>
      <c r="AW12" s="325"/>
      <c r="AX12" s="324"/>
      <c r="AY12" s="325"/>
      <c r="AZ12" s="325">
        <f>SUM(AZ13:AZ16)</f>
        <v>350295</v>
      </c>
      <c r="BA12" s="325"/>
      <c r="BB12" s="325"/>
      <c r="BC12" s="324"/>
      <c r="BD12" s="325"/>
      <c r="BE12" s="325">
        <f>SUM(BE13:BE16)</f>
        <v>530634</v>
      </c>
      <c r="BF12" s="325"/>
      <c r="BG12" s="325"/>
      <c r="BH12" s="324"/>
      <c r="BI12" s="325"/>
      <c r="BJ12" s="325">
        <f>SUM(BJ13:BJ16)</f>
        <v>0</v>
      </c>
      <c r="BK12" s="325"/>
      <c r="BL12" s="325"/>
      <c r="BM12" s="324"/>
      <c r="BN12" s="325"/>
      <c r="BO12" s="325">
        <f>SUM(BO13:BO16)</f>
        <v>0</v>
      </c>
      <c r="BP12" s="325"/>
      <c r="BQ12" s="325"/>
      <c r="BR12" s="324"/>
      <c r="BS12" s="325"/>
      <c r="BT12" s="325">
        <f>SUM(BT13:BT16)</f>
        <v>4556230</v>
      </c>
      <c r="BU12" s="325"/>
      <c r="BV12" s="325"/>
      <c r="BW12" s="79"/>
    </row>
    <row r="13" spans="4:77" x14ac:dyDescent="0.2">
      <c r="D13" s="9" t="s">
        <v>412</v>
      </c>
      <c r="E13" s="156"/>
      <c r="F13" s="326"/>
      <c r="G13" s="357">
        <f>G18</f>
        <v>52465000</v>
      </c>
      <c r="H13" s="360"/>
      <c r="I13" s="269"/>
      <c r="J13" s="268"/>
      <c r="K13" s="326"/>
      <c r="L13" s="357">
        <f>L18</f>
        <v>1200137</v>
      </c>
      <c r="M13" s="360"/>
      <c r="N13" s="323"/>
      <c r="O13" s="322"/>
      <c r="P13" s="326"/>
      <c r="Q13" s="357">
        <f>Q18</f>
        <v>335047</v>
      </c>
      <c r="R13" s="360"/>
      <c r="S13" s="323"/>
      <c r="T13" s="322"/>
      <c r="U13" s="326"/>
      <c r="V13" s="357">
        <f>V18</f>
        <v>112559</v>
      </c>
      <c r="W13" s="360"/>
      <c r="X13" s="323"/>
      <c r="Y13" s="322"/>
      <c r="Z13" s="326"/>
      <c r="AA13" s="357">
        <f>AA18</f>
        <v>339545</v>
      </c>
      <c r="AB13" s="360"/>
      <c r="AC13" s="323"/>
      <c r="AD13" s="322"/>
      <c r="AE13" s="326"/>
      <c r="AF13" s="357">
        <f>AF18</f>
        <v>212255</v>
      </c>
      <c r="AG13" s="360"/>
      <c r="AH13" s="323"/>
      <c r="AI13" s="322"/>
      <c r="AJ13" s="326"/>
      <c r="AK13" s="357">
        <f>AK18</f>
        <v>223023</v>
      </c>
      <c r="AL13" s="360"/>
      <c r="AM13" s="323"/>
      <c r="AN13" s="322"/>
      <c r="AO13" s="326"/>
      <c r="AP13" s="357">
        <f>AP18</f>
        <v>333330</v>
      </c>
      <c r="AQ13" s="360"/>
      <c r="AR13" s="323"/>
      <c r="AS13" s="322"/>
      <c r="AT13" s="326"/>
      <c r="AU13" s="357">
        <f>AU18</f>
        <v>314155</v>
      </c>
      <c r="AV13" s="360"/>
      <c r="AW13" s="323"/>
      <c r="AX13" s="322"/>
      <c r="AY13" s="326"/>
      <c r="AZ13" s="357">
        <f>AZ18</f>
        <v>59957</v>
      </c>
      <c r="BA13" s="360"/>
      <c r="BB13" s="323"/>
      <c r="BC13" s="322"/>
      <c r="BD13" s="326"/>
      <c r="BE13" s="357">
        <f>BE18</f>
        <v>397954</v>
      </c>
      <c r="BF13" s="360"/>
      <c r="BG13" s="323"/>
      <c r="BH13" s="322"/>
      <c r="BI13" s="326"/>
      <c r="BJ13" s="357">
        <f>BJ18</f>
        <v>0</v>
      </c>
      <c r="BK13" s="360"/>
      <c r="BL13" s="323"/>
      <c r="BM13" s="322"/>
      <c r="BN13" s="326"/>
      <c r="BO13" s="357">
        <f>BO18</f>
        <v>0</v>
      </c>
      <c r="BP13" s="360"/>
      <c r="BQ13" s="322"/>
      <c r="BR13" s="322"/>
      <c r="BS13" s="326"/>
      <c r="BT13" s="357">
        <f>BT18</f>
        <v>3527962</v>
      </c>
      <c r="BU13" s="360"/>
      <c r="BV13" s="323"/>
      <c r="BW13" s="9"/>
      <c r="BX13" s="10"/>
      <c r="BY13" s="10"/>
    </row>
    <row r="14" spans="4:77" x14ac:dyDescent="0.2">
      <c r="D14" s="9" t="s">
        <v>413</v>
      </c>
      <c r="E14" s="156"/>
      <c r="F14" s="322"/>
      <c r="G14" s="323">
        <f>G30</f>
        <v>0</v>
      </c>
      <c r="H14" s="362"/>
      <c r="I14" s="323"/>
      <c r="J14" s="322"/>
      <c r="K14" s="322"/>
      <c r="L14" s="323">
        <f>L30</f>
        <v>0</v>
      </c>
      <c r="M14" s="362"/>
      <c r="N14" s="323"/>
      <c r="O14" s="322"/>
      <c r="P14" s="322"/>
      <c r="Q14" s="323">
        <f>Q30</f>
        <v>0</v>
      </c>
      <c r="R14" s="362"/>
      <c r="S14" s="323"/>
      <c r="T14" s="322"/>
      <c r="U14" s="322"/>
      <c r="V14" s="323">
        <f>V30</f>
        <v>0</v>
      </c>
      <c r="W14" s="362"/>
      <c r="X14" s="323"/>
      <c r="Y14" s="322"/>
      <c r="Z14" s="322"/>
      <c r="AA14" s="323">
        <f>AA30</f>
        <v>0</v>
      </c>
      <c r="AB14" s="362"/>
      <c r="AC14" s="323"/>
      <c r="AD14" s="322"/>
      <c r="AE14" s="322"/>
      <c r="AF14" s="323">
        <f>AF30</f>
        <v>0</v>
      </c>
      <c r="AG14" s="362"/>
      <c r="AH14" s="323"/>
      <c r="AI14" s="322"/>
      <c r="AJ14" s="322"/>
      <c r="AK14" s="323">
        <f>AK30</f>
        <v>0</v>
      </c>
      <c r="AL14" s="362"/>
      <c r="AM14" s="323"/>
      <c r="AN14" s="322"/>
      <c r="AO14" s="322"/>
      <c r="AP14" s="323">
        <f>AP30</f>
        <v>0</v>
      </c>
      <c r="AQ14" s="362"/>
      <c r="AR14" s="323"/>
      <c r="AS14" s="322"/>
      <c r="AT14" s="322"/>
      <c r="AU14" s="323">
        <f>AU30</f>
        <v>0</v>
      </c>
      <c r="AV14" s="362"/>
      <c r="AW14" s="323"/>
      <c r="AX14" s="322"/>
      <c r="AY14" s="322"/>
      <c r="AZ14" s="323">
        <f>AZ30</f>
        <v>0</v>
      </c>
      <c r="BA14" s="362"/>
      <c r="BB14" s="323"/>
      <c r="BC14" s="322"/>
      <c r="BD14" s="322"/>
      <c r="BE14" s="323">
        <f>BE30</f>
        <v>0</v>
      </c>
      <c r="BF14" s="362"/>
      <c r="BG14" s="323"/>
      <c r="BH14" s="322"/>
      <c r="BI14" s="322"/>
      <c r="BJ14" s="323">
        <f>BJ30</f>
        <v>0</v>
      </c>
      <c r="BK14" s="362"/>
      <c r="BL14" s="323"/>
      <c r="BM14" s="322"/>
      <c r="BN14" s="322"/>
      <c r="BO14" s="323">
        <f>BO30</f>
        <v>0</v>
      </c>
      <c r="BP14" s="362"/>
      <c r="BQ14" s="322"/>
      <c r="BR14" s="322"/>
      <c r="BS14" s="322"/>
      <c r="BT14" s="323">
        <f>BT30</f>
        <v>0</v>
      </c>
      <c r="BU14" s="362"/>
      <c r="BV14" s="323"/>
      <c r="BW14" s="9"/>
      <c r="BX14" s="10"/>
      <c r="BY14" s="10"/>
    </row>
    <row r="15" spans="4:77" x14ac:dyDescent="0.2">
      <c r="D15" s="9" t="s">
        <v>414</v>
      </c>
      <c r="E15" s="156"/>
      <c r="F15" s="322"/>
      <c r="G15" s="323">
        <f>G65</f>
        <v>0</v>
      </c>
      <c r="H15" s="362"/>
      <c r="I15" s="269"/>
      <c r="J15" s="268"/>
      <c r="K15" s="322"/>
      <c r="L15" s="323">
        <f>L65</f>
        <v>487336</v>
      </c>
      <c r="M15" s="362"/>
      <c r="N15" s="269"/>
      <c r="O15" s="268"/>
      <c r="P15" s="322"/>
      <c r="Q15" s="323">
        <f>Q65</f>
        <v>29682</v>
      </c>
      <c r="R15" s="362"/>
      <c r="S15" s="323"/>
      <c r="T15" s="322"/>
      <c r="U15" s="322"/>
      <c r="V15" s="323">
        <f>V65</f>
        <v>28489</v>
      </c>
      <c r="W15" s="362"/>
      <c r="X15" s="323"/>
      <c r="Y15" s="322"/>
      <c r="Z15" s="322"/>
      <c r="AA15" s="323">
        <f>AA65</f>
        <v>0</v>
      </c>
      <c r="AB15" s="362"/>
      <c r="AC15" s="323"/>
      <c r="AD15" s="322"/>
      <c r="AE15" s="322"/>
      <c r="AF15" s="323">
        <f>AF65</f>
        <v>41191</v>
      </c>
      <c r="AG15" s="362"/>
      <c r="AH15" s="323"/>
      <c r="AI15" s="322"/>
      <c r="AJ15" s="322"/>
      <c r="AK15" s="323">
        <f>AK65</f>
        <v>18552</v>
      </c>
      <c r="AL15" s="362"/>
      <c r="AM15" s="323"/>
      <c r="AN15" s="322"/>
      <c r="AO15" s="322"/>
      <c r="AP15" s="323">
        <f>AP65</f>
        <v>0</v>
      </c>
      <c r="AQ15" s="362"/>
      <c r="AR15" s="323"/>
      <c r="AS15" s="322"/>
      <c r="AT15" s="322"/>
      <c r="AU15" s="323">
        <f>AU65</f>
        <v>0</v>
      </c>
      <c r="AV15" s="362"/>
      <c r="AW15" s="323"/>
      <c r="AX15" s="322"/>
      <c r="AY15" s="322"/>
      <c r="AZ15" s="323">
        <f>AZ65</f>
        <v>290338</v>
      </c>
      <c r="BA15" s="362"/>
      <c r="BB15" s="323"/>
      <c r="BC15" s="322"/>
      <c r="BD15" s="322"/>
      <c r="BE15" s="323">
        <f>BE65</f>
        <v>132680</v>
      </c>
      <c r="BF15" s="362"/>
      <c r="BG15" s="323"/>
      <c r="BH15" s="322"/>
      <c r="BI15" s="322"/>
      <c r="BJ15" s="323">
        <f>BJ65</f>
        <v>0</v>
      </c>
      <c r="BK15" s="362"/>
      <c r="BL15" s="323"/>
      <c r="BM15" s="322"/>
      <c r="BN15" s="322"/>
      <c r="BO15" s="323">
        <f>BO65</f>
        <v>0</v>
      </c>
      <c r="BP15" s="362"/>
      <c r="BQ15" s="322"/>
      <c r="BR15" s="322"/>
      <c r="BS15" s="322"/>
      <c r="BT15" s="323">
        <f>BT65</f>
        <v>1028268</v>
      </c>
      <c r="BU15" s="362"/>
      <c r="BV15" s="323"/>
      <c r="BW15" s="9"/>
      <c r="BX15" s="10"/>
      <c r="BY15" s="10"/>
    </row>
    <row r="16" spans="4:77" ht="12.75" customHeight="1" x14ac:dyDescent="0.2">
      <c r="D16" s="9" t="s">
        <v>415</v>
      </c>
      <c r="E16" s="156"/>
      <c r="F16" s="336"/>
      <c r="G16" s="365">
        <f>G122</f>
        <v>0</v>
      </c>
      <c r="H16" s="364"/>
      <c r="I16" s="269"/>
      <c r="J16" s="268"/>
      <c r="K16" s="336"/>
      <c r="L16" s="365">
        <f>L122</f>
        <v>0</v>
      </c>
      <c r="M16" s="364"/>
      <c r="N16" s="269"/>
      <c r="O16" s="268"/>
      <c r="P16" s="336"/>
      <c r="Q16" s="365">
        <f>Q122</f>
        <v>0</v>
      </c>
      <c r="R16" s="364"/>
      <c r="S16" s="323"/>
      <c r="T16" s="322"/>
      <c r="U16" s="336"/>
      <c r="V16" s="365">
        <f>V122</f>
        <v>0</v>
      </c>
      <c r="W16" s="364"/>
      <c r="X16" s="323"/>
      <c r="Y16" s="322"/>
      <c r="Z16" s="336"/>
      <c r="AA16" s="365">
        <f>AA122</f>
        <v>0</v>
      </c>
      <c r="AB16" s="364"/>
      <c r="AC16" s="323"/>
      <c r="AD16" s="322"/>
      <c r="AE16" s="336"/>
      <c r="AF16" s="365">
        <f>AF122</f>
        <v>0</v>
      </c>
      <c r="AG16" s="364"/>
      <c r="AH16" s="323"/>
      <c r="AI16" s="322"/>
      <c r="AJ16" s="336"/>
      <c r="AK16" s="365">
        <f>AK122</f>
        <v>0</v>
      </c>
      <c r="AL16" s="364"/>
      <c r="AM16" s="323"/>
      <c r="AN16" s="322"/>
      <c r="AO16" s="336"/>
      <c r="AP16" s="365">
        <f>AP122</f>
        <v>0</v>
      </c>
      <c r="AQ16" s="364"/>
      <c r="AR16" s="323"/>
      <c r="AS16" s="322"/>
      <c r="AT16" s="336"/>
      <c r="AU16" s="365">
        <f>AU122</f>
        <v>0</v>
      </c>
      <c r="AV16" s="364"/>
      <c r="AW16" s="323"/>
      <c r="AX16" s="322"/>
      <c r="AY16" s="336"/>
      <c r="AZ16" s="365">
        <f>AZ122</f>
        <v>0</v>
      </c>
      <c r="BA16" s="364"/>
      <c r="BB16" s="323"/>
      <c r="BC16" s="322"/>
      <c r="BD16" s="336"/>
      <c r="BE16" s="365">
        <f>BE122</f>
        <v>0</v>
      </c>
      <c r="BF16" s="364"/>
      <c r="BG16" s="323"/>
      <c r="BH16" s="322"/>
      <c r="BI16" s="336"/>
      <c r="BJ16" s="365">
        <f>BJ122</f>
        <v>0</v>
      </c>
      <c r="BK16" s="364"/>
      <c r="BL16" s="323"/>
      <c r="BM16" s="322"/>
      <c r="BN16" s="336"/>
      <c r="BO16" s="365">
        <f>BO122</f>
        <v>0</v>
      </c>
      <c r="BP16" s="364"/>
      <c r="BQ16" s="323"/>
      <c r="BR16" s="322"/>
      <c r="BS16" s="336"/>
      <c r="BT16" s="365">
        <f>BT122</f>
        <v>0</v>
      </c>
      <c r="BU16" s="364"/>
      <c r="BV16" s="323"/>
      <c r="BW16" s="9"/>
      <c r="BX16" s="10"/>
      <c r="BY16" s="10"/>
    </row>
    <row r="17" spans="4:77" x14ac:dyDescent="0.2">
      <c r="D17" s="9"/>
      <c r="E17" s="156"/>
      <c r="G17" s="361"/>
      <c r="H17" s="323"/>
      <c r="I17" s="323"/>
      <c r="J17" s="322"/>
      <c r="K17" s="323"/>
      <c r="L17" s="323"/>
      <c r="M17" s="323"/>
      <c r="N17" s="323"/>
      <c r="O17" s="322"/>
      <c r="P17" s="357"/>
      <c r="Q17" s="323"/>
      <c r="R17" s="357"/>
      <c r="S17" s="323"/>
      <c r="T17" s="322"/>
      <c r="U17" s="357"/>
      <c r="V17" s="323"/>
      <c r="W17" s="357"/>
      <c r="X17" s="323"/>
      <c r="Y17" s="322"/>
      <c r="Z17" s="357"/>
      <c r="AA17" s="323"/>
      <c r="AB17" s="357"/>
      <c r="AC17" s="323"/>
      <c r="AD17" s="322"/>
      <c r="AE17" s="357"/>
      <c r="AF17" s="323"/>
      <c r="AG17" s="357"/>
      <c r="AH17" s="323"/>
      <c r="AI17" s="322"/>
      <c r="AJ17" s="357"/>
      <c r="AK17" s="323"/>
      <c r="AL17" s="357"/>
      <c r="AM17" s="323"/>
      <c r="AN17" s="322"/>
      <c r="AO17" s="357"/>
      <c r="AP17" s="323"/>
      <c r="AQ17" s="357"/>
      <c r="AR17" s="323"/>
      <c r="AS17" s="322"/>
      <c r="AT17" s="323"/>
      <c r="AU17" s="323"/>
      <c r="AV17" s="323"/>
      <c r="AW17" s="323"/>
      <c r="AX17" s="322"/>
      <c r="AY17" s="323"/>
      <c r="AZ17" s="323"/>
      <c r="BA17" s="357"/>
      <c r="BB17" s="323"/>
      <c r="BC17" s="322"/>
      <c r="BD17" s="323"/>
      <c r="BE17" s="323"/>
      <c r="BF17" s="323"/>
      <c r="BG17" s="323"/>
      <c r="BH17" s="322"/>
      <c r="BI17" s="357"/>
      <c r="BJ17" s="323"/>
      <c r="BK17" s="357"/>
      <c r="BL17" s="323"/>
      <c r="BM17" s="322"/>
      <c r="BN17" s="357"/>
      <c r="BO17" s="323"/>
      <c r="BP17" s="357"/>
      <c r="BQ17" s="323"/>
      <c r="BR17" s="322"/>
      <c r="BS17" s="323"/>
      <c r="BT17" s="323"/>
      <c r="BU17" s="323"/>
      <c r="BV17" s="323"/>
      <c r="BW17" s="9"/>
      <c r="BX17" s="10"/>
      <c r="BY17" s="10"/>
    </row>
    <row r="18" spans="4:77" s="10" customFormat="1" ht="12.75" customHeight="1" x14ac:dyDescent="0.2">
      <c r="D18" s="79" t="s">
        <v>416</v>
      </c>
      <c r="E18" s="145"/>
      <c r="F18" s="21"/>
      <c r="G18" s="406">
        <f>SUM(G19:G28)</f>
        <v>52465000</v>
      </c>
      <c r="H18" s="406"/>
      <c r="I18" s="368"/>
      <c r="J18" s="369"/>
      <c r="K18" s="406"/>
      <c r="L18" s="406">
        <f>SUM(L19:L28)</f>
        <v>1200137</v>
      </c>
      <c r="M18" s="406"/>
      <c r="N18" s="368"/>
      <c r="O18" s="369"/>
      <c r="P18" s="406"/>
      <c r="Q18" s="406">
        <f>SUM(Q19:Q28)</f>
        <v>335047</v>
      </c>
      <c r="R18" s="406"/>
      <c r="S18" s="368"/>
      <c r="T18" s="369"/>
      <c r="U18" s="406"/>
      <c r="V18" s="406">
        <f>SUM(V19:V28)</f>
        <v>112559</v>
      </c>
      <c r="W18" s="406"/>
      <c r="X18" s="368"/>
      <c r="Y18" s="369"/>
      <c r="Z18" s="406"/>
      <c r="AA18" s="406">
        <f>SUM(AA19:AA28)</f>
        <v>339545</v>
      </c>
      <c r="AB18" s="406"/>
      <c r="AC18" s="368"/>
      <c r="AD18" s="369"/>
      <c r="AE18" s="406"/>
      <c r="AF18" s="406">
        <f>SUM(AF19:AF28)</f>
        <v>212255</v>
      </c>
      <c r="AG18" s="406"/>
      <c r="AH18" s="368"/>
      <c r="AI18" s="369"/>
      <c r="AJ18" s="406"/>
      <c r="AK18" s="406">
        <f>SUM(AK19:AK28)</f>
        <v>223023</v>
      </c>
      <c r="AL18" s="406"/>
      <c r="AM18" s="368"/>
      <c r="AN18" s="369"/>
      <c r="AO18" s="406"/>
      <c r="AP18" s="406">
        <f>SUM(AP19:AP28)</f>
        <v>333330</v>
      </c>
      <c r="AQ18" s="406"/>
      <c r="AR18" s="368"/>
      <c r="AS18" s="369"/>
      <c r="AT18" s="406"/>
      <c r="AU18" s="406">
        <f>SUM(AU19:AU28)</f>
        <v>314155</v>
      </c>
      <c r="AV18" s="406"/>
      <c r="AW18" s="368"/>
      <c r="AX18" s="369"/>
      <c r="AY18" s="406"/>
      <c r="AZ18" s="406">
        <f>SUM(AZ19:AZ28)</f>
        <v>59957</v>
      </c>
      <c r="BA18" s="406"/>
      <c r="BB18" s="368"/>
      <c r="BC18" s="369"/>
      <c r="BD18" s="406"/>
      <c r="BE18" s="406">
        <f>SUM(BE19:BE28)</f>
        <v>397954</v>
      </c>
      <c r="BF18" s="406"/>
      <c r="BG18" s="368"/>
      <c r="BH18" s="369"/>
      <c r="BI18" s="406"/>
      <c r="BJ18" s="406">
        <f>SUM(BJ19:BJ28)</f>
        <v>0</v>
      </c>
      <c r="BK18" s="406"/>
      <c r="BL18" s="368"/>
      <c r="BM18" s="369"/>
      <c r="BN18" s="406"/>
      <c r="BO18" s="406">
        <f>SUM(BO19:BO28)</f>
        <v>0</v>
      </c>
      <c r="BP18" s="406"/>
      <c r="BQ18" s="368"/>
      <c r="BR18" s="369"/>
      <c r="BS18" s="406"/>
      <c r="BT18" s="406">
        <f>SUM(BT19:BT28)</f>
        <v>3527962</v>
      </c>
      <c r="BU18" s="406"/>
      <c r="BV18" s="368"/>
      <c r="BW18" s="79"/>
    </row>
    <row r="19" spans="4:77" ht="12.75" customHeight="1" x14ac:dyDescent="0.2">
      <c r="D19" s="9" t="s">
        <v>417</v>
      </c>
      <c r="E19" s="156"/>
      <c r="F19" s="156"/>
      <c r="G19" s="373">
        <v>48965000</v>
      </c>
      <c r="H19" s="377"/>
      <c r="I19" s="373"/>
      <c r="J19" s="374"/>
      <c r="K19" s="374"/>
      <c r="L19" s="373">
        <v>0</v>
      </c>
      <c r="M19" s="377"/>
      <c r="N19" s="373"/>
      <c r="O19" s="374"/>
      <c r="P19" s="374"/>
      <c r="Q19" s="373">
        <v>0</v>
      </c>
      <c r="R19" s="377"/>
      <c r="S19" s="373"/>
      <c r="T19" s="374"/>
      <c r="U19" s="374"/>
      <c r="V19" s="373">
        <v>0</v>
      </c>
      <c r="W19" s="377"/>
      <c r="X19" s="373"/>
      <c r="Y19" s="374"/>
      <c r="Z19" s="374"/>
      <c r="AA19" s="373">
        <v>0</v>
      </c>
      <c r="AB19" s="377"/>
      <c r="AC19" s="373"/>
      <c r="AD19" s="374"/>
      <c r="AE19" s="374"/>
      <c r="AF19" s="373">
        <v>0</v>
      </c>
      <c r="AG19" s="377"/>
      <c r="AH19" s="373"/>
      <c r="AI19" s="374"/>
      <c r="AJ19" s="374"/>
      <c r="AK19" s="373">
        <v>0</v>
      </c>
      <c r="AL19" s="377"/>
      <c r="AM19" s="373"/>
      <c r="AN19" s="374"/>
      <c r="AO19" s="374"/>
      <c r="AP19" s="373">
        <v>0</v>
      </c>
      <c r="AQ19" s="377"/>
      <c r="AR19" s="373"/>
      <c r="AS19" s="374"/>
      <c r="AT19" s="374"/>
      <c r="AU19" s="373">
        <v>0</v>
      </c>
      <c r="AV19" s="377"/>
      <c r="AW19" s="373"/>
      <c r="AX19" s="374"/>
      <c r="AY19" s="374"/>
      <c r="AZ19" s="373">
        <v>0</v>
      </c>
      <c r="BA19" s="377"/>
      <c r="BB19" s="373"/>
      <c r="BC19" s="374"/>
      <c r="BD19" s="374"/>
      <c r="BE19" s="373">
        <v>0</v>
      </c>
      <c r="BF19" s="377"/>
      <c r="BG19" s="373"/>
      <c r="BH19" s="374"/>
      <c r="BI19" s="374"/>
      <c r="BJ19" s="373">
        <v>0</v>
      </c>
      <c r="BK19" s="377"/>
      <c r="BL19" s="373"/>
      <c r="BM19" s="374"/>
      <c r="BN19" s="374"/>
      <c r="BO19" s="373">
        <v>0</v>
      </c>
      <c r="BP19" s="377"/>
      <c r="BQ19" s="373"/>
      <c r="BR19" s="374"/>
      <c r="BS19" s="374"/>
      <c r="BT19" s="373">
        <f t="shared" ref="BT19:BT28" si="0">SUM(L19:BO19)</f>
        <v>0</v>
      </c>
      <c r="BU19" s="377"/>
      <c r="BV19" s="373"/>
      <c r="BW19" s="9"/>
      <c r="BX19" s="10"/>
      <c r="BY19" s="10"/>
    </row>
    <row r="20" spans="4:77" ht="12.75" customHeight="1" x14ac:dyDescent="0.2">
      <c r="D20" s="9" t="s">
        <v>363</v>
      </c>
      <c r="E20" s="156"/>
      <c r="F20" s="156"/>
      <c r="G20" s="373">
        <v>0</v>
      </c>
      <c r="H20" s="377"/>
      <c r="I20" s="373"/>
      <c r="J20" s="374"/>
      <c r="K20" s="374"/>
      <c r="L20" s="373">
        <v>0</v>
      </c>
      <c r="M20" s="377"/>
      <c r="N20" s="373"/>
      <c r="O20" s="374"/>
      <c r="P20" s="374"/>
      <c r="Q20" s="373">
        <v>0</v>
      </c>
      <c r="R20" s="377"/>
      <c r="S20" s="373"/>
      <c r="T20" s="374"/>
      <c r="U20" s="374"/>
      <c r="V20" s="373">
        <v>0</v>
      </c>
      <c r="W20" s="377"/>
      <c r="X20" s="373"/>
      <c r="Y20" s="374"/>
      <c r="Z20" s="374"/>
      <c r="AA20" s="373">
        <v>0</v>
      </c>
      <c r="AB20" s="377"/>
      <c r="AC20" s="373"/>
      <c r="AD20" s="374"/>
      <c r="AE20" s="374"/>
      <c r="AF20" s="373">
        <v>0</v>
      </c>
      <c r="AG20" s="377"/>
      <c r="AH20" s="373"/>
      <c r="AI20" s="374"/>
      <c r="AJ20" s="374"/>
      <c r="AK20" s="373">
        <v>0</v>
      </c>
      <c r="AL20" s="377"/>
      <c r="AM20" s="373"/>
      <c r="AN20" s="374"/>
      <c r="AO20" s="374"/>
      <c r="AP20" s="373">
        <v>0</v>
      </c>
      <c r="AQ20" s="377"/>
      <c r="AR20" s="373"/>
      <c r="AS20" s="374"/>
      <c r="AT20" s="374"/>
      <c r="AU20" s="373">
        <v>0</v>
      </c>
      <c r="AV20" s="377"/>
      <c r="AW20" s="373"/>
      <c r="AX20" s="374"/>
      <c r="AY20" s="374"/>
      <c r="AZ20" s="373">
        <v>0</v>
      </c>
      <c r="BA20" s="377"/>
      <c r="BB20" s="373"/>
      <c r="BC20" s="374"/>
      <c r="BD20" s="374"/>
      <c r="BE20" s="373">
        <v>0</v>
      </c>
      <c r="BF20" s="377"/>
      <c r="BG20" s="373"/>
      <c r="BH20" s="374"/>
      <c r="BI20" s="374"/>
      <c r="BJ20" s="373">
        <v>0</v>
      </c>
      <c r="BK20" s="377"/>
      <c r="BL20" s="373"/>
      <c r="BM20" s="374"/>
      <c r="BN20" s="374"/>
      <c r="BO20" s="373">
        <v>0</v>
      </c>
      <c r="BP20" s="377"/>
      <c r="BQ20" s="373"/>
      <c r="BR20" s="374"/>
      <c r="BS20" s="374"/>
      <c r="BT20" s="373">
        <f t="shared" si="0"/>
        <v>0</v>
      </c>
      <c r="BU20" s="377"/>
      <c r="BV20" s="373"/>
      <c r="BW20" s="9"/>
      <c r="BX20" s="10"/>
      <c r="BY20" s="10"/>
    </row>
    <row r="21" spans="4:77" ht="12.75" hidden="1" customHeight="1" x14ac:dyDescent="0.2">
      <c r="D21" s="9" t="s">
        <v>359</v>
      </c>
      <c r="E21" s="156"/>
      <c r="F21" s="156"/>
      <c r="G21" s="373">
        <v>0</v>
      </c>
      <c r="H21" s="377"/>
      <c r="I21" s="373"/>
      <c r="J21" s="374"/>
      <c r="K21" s="374"/>
      <c r="L21" s="373">
        <v>0</v>
      </c>
      <c r="M21" s="377"/>
      <c r="N21" s="373"/>
      <c r="O21" s="374"/>
      <c r="P21" s="374"/>
      <c r="Q21" s="373">
        <v>0</v>
      </c>
      <c r="R21" s="377"/>
      <c r="S21" s="373"/>
      <c r="T21" s="374"/>
      <c r="U21" s="374"/>
      <c r="V21" s="373">
        <v>0</v>
      </c>
      <c r="W21" s="377"/>
      <c r="X21" s="373"/>
      <c r="Y21" s="374"/>
      <c r="Z21" s="374"/>
      <c r="AA21" s="373">
        <v>0</v>
      </c>
      <c r="AB21" s="377"/>
      <c r="AC21" s="373"/>
      <c r="AD21" s="374"/>
      <c r="AE21" s="374"/>
      <c r="AF21" s="373">
        <v>0</v>
      </c>
      <c r="AG21" s="377"/>
      <c r="AH21" s="373"/>
      <c r="AI21" s="374"/>
      <c r="AJ21" s="374"/>
      <c r="AK21" s="373">
        <v>0</v>
      </c>
      <c r="AL21" s="377"/>
      <c r="AM21" s="373"/>
      <c r="AN21" s="374"/>
      <c r="AO21" s="374"/>
      <c r="AP21" s="373">
        <v>0</v>
      </c>
      <c r="AQ21" s="377"/>
      <c r="AR21" s="373"/>
      <c r="AS21" s="374"/>
      <c r="AT21" s="374"/>
      <c r="AU21" s="373">
        <v>0</v>
      </c>
      <c r="AV21" s="377"/>
      <c r="AW21" s="373"/>
      <c r="AX21" s="374"/>
      <c r="AY21" s="374"/>
      <c r="AZ21" s="373">
        <v>0</v>
      </c>
      <c r="BA21" s="377"/>
      <c r="BB21" s="373"/>
      <c r="BC21" s="374"/>
      <c r="BD21" s="374"/>
      <c r="BE21" s="373">
        <v>0</v>
      </c>
      <c r="BF21" s="377"/>
      <c r="BG21" s="373"/>
      <c r="BH21" s="374"/>
      <c r="BI21" s="374"/>
      <c r="BJ21" s="373">
        <v>0</v>
      </c>
      <c r="BK21" s="377"/>
      <c r="BL21" s="373"/>
      <c r="BM21" s="374"/>
      <c r="BN21" s="374"/>
      <c r="BO21" s="373">
        <v>0</v>
      </c>
      <c r="BP21" s="377"/>
      <c r="BQ21" s="373"/>
      <c r="BR21" s="374"/>
      <c r="BS21" s="374"/>
      <c r="BT21" s="373">
        <f t="shared" si="0"/>
        <v>0</v>
      </c>
      <c r="BU21" s="377"/>
      <c r="BV21" s="373"/>
      <c r="BW21" s="9"/>
      <c r="BX21" s="10"/>
      <c r="BY21" s="10"/>
    </row>
    <row r="22" spans="4:77" ht="12.75" hidden="1" customHeight="1" x14ac:dyDescent="0.2">
      <c r="D22" s="9" t="s">
        <v>418</v>
      </c>
      <c r="E22" s="156"/>
      <c r="F22" s="156"/>
      <c r="G22" s="373">
        <v>0</v>
      </c>
      <c r="H22" s="377"/>
      <c r="I22" s="373"/>
      <c r="J22" s="374"/>
      <c r="K22" s="374"/>
      <c r="L22" s="373">
        <v>0</v>
      </c>
      <c r="M22" s="377"/>
      <c r="N22" s="373"/>
      <c r="O22" s="374"/>
      <c r="P22" s="374"/>
      <c r="Q22" s="373">
        <v>0</v>
      </c>
      <c r="R22" s="377"/>
      <c r="S22" s="373"/>
      <c r="T22" s="374"/>
      <c r="U22" s="374"/>
      <c r="V22" s="373">
        <v>0</v>
      </c>
      <c r="W22" s="377"/>
      <c r="X22" s="373"/>
      <c r="Y22" s="374"/>
      <c r="Z22" s="374"/>
      <c r="AA22" s="373">
        <v>0</v>
      </c>
      <c r="AB22" s="377"/>
      <c r="AC22" s="373"/>
      <c r="AD22" s="374"/>
      <c r="AE22" s="374"/>
      <c r="AF22" s="373">
        <v>0</v>
      </c>
      <c r="AG22" s="377"/>
      <c r="AH22" s="373"/>
      <c r="AI22" s="374"/>
      <c r="AJ22" s="374"/>
      <c r="AK22" s="373">
        <v>0</v>
      </c>
      <c r="AL22" s="377"/>
      <c r="AM22" s="373"/>
      <c r="AN22" s="374"/>
      <c r="AO22" s="374"/>
      <c r="AP22" s="373">
        <v>0</v>
      </c>
      <c r="AQ22" s="377"/>
      <c r="AR22" s="373"/>
      <c r="AS22" s="374"/>
      <c r="AT22" s="374"/>
      <c r="AU22" s="373">
        <v>0</v>
      </c>
      <c r="AV22" s="377"/>
      <c r="AW22" s="373"/>
      <c r="AX22" s="374"/>
      <c r="AY22" s="374"/>
      <c r="AZ22" s="373">
        <v>0</v>
      </c>
      <c r="BA22" s="377"/>
      <c r="BB22" s="373"/>
      <c r="BC22" s="374"/>
      <c r="BD22" s="374"/>
      <c r="BE22" s="373">
        <v>0</v>
      </c>
      <c r="BF22" s="377"/>
      <c r="BG22" s="373"/>
      <c r="BH22" s="374"/>
      <c r="BI22" s="374"/>
      <c r="BJ22" s="373">
        <v>0</v>
      </c>
      <c r="BK22" s="377"/>
      <c r="BL22" s="373"/>
      <c r="BM22" s="374"/>
      <c r="BN22" s="374"/>
      <c r="BO22" s="373">
        <v>0</v>
      </c>
      <c r="BP22" s="377"/>
      <c r="BQ22" s="373"/>
      <c r="BR22" s="374"/>
      <c r="BS22" s="374"/>
      <c r="BT22" s="373">
        <f t="shared" si="0"/>
        <v>0</v>
      </c>
      <c r="BU22" s="377"/>
      <c r="BV22" s="373"/>
      <c r="BW22" s="9"/>
      <c r="BX22" s="10"/>
      <c r="BY22" s="10"/>
    </row>
    <row r="23" spans="4:77" ht="12.75" hidden="1" customHeight="1" x14ac:dyDescent="0.2">
      <c r="D23" s="9" t="s">
        <v>419</v>
      </c>
      <c r="E23" s="156"/>
      <c r="F23" s="156"/>
      <c r="G23" s="373">
        <v>0</v>
      </c>
      <c r="H23" s="377"/>
      <c r="I23" s="373"/>
      <c r="J23" s="374"/>
      <c r="K23" s="374"/>
      <c r="L23" s="373">
        <v>0</v>
      </c>
      <c r="M23" s="377"/>
      <c r="N23" s="373"/>
      <c r="O23" s="374"/>
      <c r="P23" s="374"/>
      <c r="Q23" s="373">
        <v>0</v>
      </c>
      <c r="R23" s="377"/>
      <c r="S23" s="373"/>
      <c r="T23" s="374"/>
      <c r="U23" s="374"/>
      <c r="V23" s="373">
        <v>0</v>
      </c>
      <c r="W23" s="377"/>
      <c r="X23" s="373"/>
      <c r="Y23" s="374"/>
      <c r="Z23" s="374"/>
      <c r="AA23" s="373">
        <v>0</v>
      </c>
      <c r="AB23" s="377"/>
      <c r="AC23" s="373"/>
      <c r="AD23" s="374"/>
      <c r="AE23" s="374"/>
      <c r="AF23" s="373">
        <v>0</v>
      </c>
      <c r="AG23" s="377"/>
      <c r="AH23" s="373"/>
      <c r="AI23" s="374"/>
      <c r="AJ23" s="374"/>
      <c r="AK23" s="373">
        <v>0</v>
      </c>
      <c r="AL23" s="377"/>
      <c r="AM23" s="373"/>
      <c r="AN23" s="374"/>
      <c r="AO23" s="374"/>
      <c r="AP23" s="373">
        <v>0</v>
      </c>
      <c r="AQ23" s="377"/>
      <c r="AR23" s="373"/>
      <c r="AS23" s="374"/>
      <c r="AT23" s="374"/>
      <c r="AU23" s="373">
        <v>0</v>
      </c>
      <c r="AV23" s="377"/>
      <c r="AW23" s="373"/>
      <c r="AX23" s="374"/>
      <c r="AY23" s="374"/>
      <c r="AZ23" s="373">
        <v>0</v>
      </c>
      <c r="BA23" s="377"/>
      <c r="BB23" s="373"/>
      <c r="BC23" s="374"/>
      <c r="BD23" s="374"/>
      <c r="BE23" s="373">
        <v>0</v>
      </c>
      <c r="BF23" s="377"/>
      <c r="BG23" s="373"/>
      <c r="BH23" s="374"/>
      <c r="BI23" s="374"/>
      <c r="BJ23" s="373">
        <v>0</v>
      </c>
      <c r="BK23" s="377"/>
      <c r="BL23" s="373"/>
      <c r="BM23" s="374"/>
      <c r="BN23" s="374"/>
      <c r="BO23" s="373">
        <v>0</v>
      </c>
      <c r="BP23" s="377"/>
      <c r="BQ23" s="373"/>
      <c r="BR23" s="374"/>
      <c r="BS23" s="374"/>
      <c r="BT23" s="373">
        <f t="shared" si="0"/>
        <v>0</v>
      </c>
      <c r="BU23" s="377"/>
      <c r="BV23" s="373"/>
      <c r="BW23" s="9"/>
      <c r="BX23" s="10"/>
      <c r="BY23" s="10"/>
    </row>
    <row r="24" spans="4:77" ht="12.75" customHeight="1" x14ac:dyDescent="0.2">
      <c r="D24" s="9" t="s">
        <v>420</v>
      </c>
      <c r="E24" s="156"/>
      <c r="F24" s="156"/>
      <c r="G24" s="373">
        <v>0</v>
      </c>
      <c r="H24" s="377"/>
      <c r="I24" s="373"/>
      <c r="J24" s="374"/>
      <c r="K24" s="374"/>
      <c r="L24" s="373">
        <v>0</v>
      </c>
      <c r="M24" s="377"/>
      <c r="N24" s="373"/>
      <c r="O24" s="374"/>
      <c r="P24" s="374"/>
      <c r="Q24" s="373">
        <v>0</v>
      </c>
      <c r="R24" s="377"/>
      <c r="S24" s="373"/>
      <c r="T24" s="374"/>
      <c r="U24" s="374"/>
      <c r="V24" s="373">
        <v>0</v>
      </c>
      <c r="W24" s="377"/>
      <c r="X24" s="373"/>
      <c r="Y24" s="374"/>
      <c r="Z24" s="374"/>
      <c r="AA24" s="373">
        <v>0</v>
      </c>
      <c r="AB24" s="377"/>
      <c r="AC24" s="373"/>
      <c r="AD24" s="374"/>
      <c r="AE24" s="374"/>
      <c r="AF24" s="373">
        <v>0</v>
      </c>
      <c r="AG24" s="377"/>
      <c r="AH24" s="373"/>
      <c r="AI24" s="374"/>
      <c r="AJ24" s="374"/>
      <c r="AK24" s="373">
        <v>0</v>
      </c>
      <c r="AL24" s="377"/>
      <c r="AM24" s="373"/>
      <c r="AN24" s="374"/>
      <c r="AO24" s="374"/>
      <c r="AP24" s="373">
        <v>0</v>
      </c>
      <c r="AQ24" s="377"/>
      <c r="AR24" s="373"/>
      <c r="AS24" s="374"/>
      <c r="AT24" s="374"/>
      <c r="AU24" s="373">
        <v>0</v>
      </c>
      <c r="AV24" s="377"/>
      <c r="AW24" s="373"/>
      <c r="AX24" s="374"/>
      <c r="AY24" s="374"/>
      <c r="AZ24" s="373">
        <v>0</v>
      </c>
      <c r="BA24" s="377"/>
      <c r="BB24" s="373"/>
      <c r="BC24" s="374"/>
      <c r="BD24" s="374"/>
      <c r="BE24" s="373">
        <v>0</v>
      </c>
      <c r="BF24" s="377"/>
      <c r="BG24" s="373"/>
      <c r="BH24" s="374"/>
      <c r="BI24" s="374"/>
      <c r="BJ24" s="373">
        <v>0</v>
      </c>
      <c r="BK24" s="377"/>
      <c r="BL24" s="373"/>
      <c r="BM24" s="374"/>
      <c r="BN24" s="374"/>
      <c r="BO24" s="373">
        <v>0</v>
      </c>
      <c r="BP24" s="377"/>
      <c r="BQ24" s="373"/>
      <c r="BR24" s="374"/>
      <c r="BS24" s="374"/>
      <c r="BT24" s="373">
        <f t="shared" si="0"/>
        <v>0</v>
      </c>
      <c r="BU24" s="377"/>
      <c r="BV24" s="373"/>
      <c r="BW24" s="9"/>
      <c r="BX24" s="10"/>
      <c r="BY24" s="10"/>
    </row>
    <row r="25" spans="4:77" ht="12.75" customHeight="1" x14ac:dyDescent="0.2">
      <c r="D25" s="9" t="s">
        <v>421</v>
      </c>
      <c r="E25" s="156"/>
      <c r="F25" s="156"/>
      <c r="G25" s="373">
        <v>0</v>
      </c>
      <c r="H25" s="377"/>
      <c r="I25" s="373"/>
      <c r="J25" s="374"/>
      <c r="K25" s="374"/>
      <c r="L25" s="373">
        <v>0</v>
      </c>
      <c r="M25" s="377"/>
      <c r="N25" s="373"/>
      <c r="O25" s="374"/>
      <c r="P25" s="374"/>
      <c r="Q25" s="373">
        <v>0</v>
      </c>
      <c r="R25" s="377"/>
      <c r="S25" s="373"/>
      <c r="T25" s="374"/>
      <c r="U25" s="374"/>
      <c r="V25" s="373">
        <v>0</v>
      </c>
      <c r="W25" s="377"/>
      <c r="X25" s="373"/>
      <c r="Y25" s="374"/>
      <c r="Z25" s="374"/>
      <c r="AA25" s="373">
        <v>0</v>
      </c>
      <c r="AB25" s="377"/>
      <c r="AC25" s="373"/>
      <c r="AD25" s="374"/>
      <c r="AE25" s="374"/>
      <c r="AF25" s="373">
        <v>0</v>
      </c>
      <c r="AG25" s="377"/>
      <c r="AH25" s="373"/>
      <c r="AI25" s="374"/>
      <c r="AJ25" s="374"/>
      <c r="AK25" s="373">
        <v>0</v>
      </c>
      <c r="AL25" s="377"/>
      <c r="AM25" s="373"/>
      <c r="AN25" s="374"/>
      <c r="AO25" s="374"/>
      <c r="AP25" s="373">
        <v>0</v>
      </c>
      <c r="AQ25" s="377"/>
      <c r="AR25" s="373"/>
      <c r="AS25" s="374"/>
      <c r="AT25" s="374"/>
      <c r="AU25" s="373">
        <v>0</v>
      </c>
      <c r="AV25" s="377"/>
      <c r="AW25" s="373"/>
      <c r="AX25" s="374"/>
      <c r="AY25" s="374"/>
      <c r="AZ25" s="373">
        <v>0</v>
      </c>
      <c r="BA25" s="377"/>
      <c r="BB25" s="373"/>
      <c r="BC25" s="374"/>
      <c r="BD25" s="374"/>
      <c r="BE25" s="373">
        <v>0</v>
      </c>
      <c r="BF25" s="377"/>
      <c r="BG25" s="373"/>
      <c r="BH25" s="374"/>
      <c r="BI25" s="374"/>
      <c r="BJ25" s="373">
        <v>0</v>
      </c>
      <c r="BK25" s="377"/>
      <c r="BL25" s="373"/>
      <c r="BM25" s="374"/>
      <c r="BN25" s="374"/>
      <c r="BO25" s="373">
        <v>0</v>
      </c>
      <c r="BP25" s="377"/>
      <c r="BQ25" s="373"/>
      <c r="BR25" s="374"/>
      <c r="BS25" s="374"/>
      <c r="BT25" s="373">
        <f t="shared" si="0"/>
        <v>0</v>
      </c>
      <c r="BU25" s="377"/>
      <c r="BV25" s="373"/>
      <c r="BW25" s="9"/>
      <c r="BX25" s="10"/>
      <c r="BY25" s="10"/>
    </row>
    <row r="26" spans="4:77" ht="12.75" customHeight="1" x14ac:dyDescent="0.2">
      <c r="D26" s="9" t="s">
        <v>342</v>
      </c>
      <c r="E26" s="156"/>
      <c r="F26" s="156"/>
      <c r="G26" s="373">
        <v>3500000</v>
      </c>
      <c r="H26" s="377"/>
      <c r="I26" s="373"/>
      <c r="J26" s="374"/>
      <c r="K26" s="374"/>
      <c r="L26" s="373">
        <v>1200137</v>
      </c>
      <c r="M26" s="377"/>
      <c r="N26" s="373"/>
      <c r="O26" s="374"/>
      <c r="P26" s="374"/>
      <c r="Q26" s="373">
        <v>335047</v>
      </c>
      <c r="R26" s="377"/>
      <c r="S26" s="373"/>
      <c r="T26" s="374"/>
      <c r="U26" s="374"/>
      <c r="V26" s="373">
        <v>112559</v>
      </c>
      <c r="W26" s="377"/>
      <c r="X26" s="373"/>
      <c r="Y26" s="374"/>
      <c r="Z26" s="374"/>
      <c r="AA26" s="373">
        <v>339545</v>
      </c>
      <c r="AB26" s="377"/>
      <c r="AC26" s="373"/>
      <c r="AD26" s="374"/>
      <c r="AE26" s="374"/>
      <c r="AF26" s="373">
        <v>212255</v>
      </c>
      <c r="AG26" s="377"/>
      <c r="AH26" s="373"/>
      <c r="AI26" s="374"/>
      <c r="AJ26" s="374"/>
      <c r="AK26" s="373">
        <v>223023</v>
      </c>
      <c r="AL26" s="377"/>
      <c r="AM26" s="373"/>
      <c r="AN26" s="374"/>
      <c r="AO26" s="374"/>
      <c r="AP26" s="373">
        <v>333330</v>
      </c>
      <c r="AQ26" s="377"/>
      <c r="AR26" s="373"/>
      <c r="AS26" s="374"/>
      <c r="AT26" s="374"/>
      <c r="AU26" s="373">
        <v>314155</v>
      </c>
      <c r="AV26" s="377"/>
      <c r="AW26" s="373"/>
      <c r="AX26" s="374"/>
      <c r="AY26" s="374"/>
      <c r="AZ26" s="373">
        <v>59957</v>
      </c>
      <c r="BA26" s="377"/>
      <c r="BB26" s="373"/>
      <c r="BC26" s="374"/>
      <c r="BD26" s="374"/>
      <c r="BE26" s="373">
        <v>397954</v>
      </c>
      <c r="BF26" s="377"/>
      <c r="BG26" s="373"/>
      <c r="BH26" s="374"/>
      <c r="BI26" s="374"/>
      <c r="BJ26" s="373">
        <v>0</v>
      </c>
      <c r="BK26" s="377"/>
      <c r="BL26" s="373"/>
      <c r="BM26" s="374"/>
      <c r="BN26" s="374"/>
      <c r="BO26" s="373">
        <v>0</v>
      </c>
      <c r="BP26" s="377"/>
      <c r="BQ26" s="373"/>
      <c r="BR26" s="374"/>
      <c r="BS26" s="374"/>
      <c r="BT26" s="373">
        <f>SUM(L26:BO26)</f>
        <v>3527962</v>
      </c>
      <c r="BU26" s="377"/>
      <c r="BV26" s="373"/>
      <c r="BW26" s="9"/>
      <c r="BX26" s="10"/>
      <c r="BY26" s="10"/>
    </row>
    <row r="27" spans="4:77" x14ac:dyDescent="0.2">
      <c r="D27" s="9" t="s">
        <v>422</v>
      </c>
      <c r="E27" s="156"/>
      <c r="F27" s="320"/>
      <c r="G27" s="385">
        <v>0</v>
      </c>
      <c r="H27" s="386"/>
      <c r="I27" s="373"/>
      <c r="J27" s="374"/>
      <c r="K27" s="387"/>
      <c r="L27" s="385">
        <v>0</v>
      </c>
      <c r="M27" s="386"/>
      <c r="N27" s="373"/>
      <c r="O27" s="374"/>
      <c r="P27" s="387"/>
      <c r="Q27" s="385">
        <v>0</v>
      </c>
      <c r="R27" s="386"/>
      <c r="S27" s="373"/>
      <c r="T27" s="374"/>
      <c r="U27" s="387"/>
      <c r="V27" s="385">
        <v>0</v>
      </c>
      <c r="W27" s="386"/>
      <c r="X27" s="373"/>
      <c r="Y27" s="374"/>
      <c r="Z27" s="387"/>
      <c r="AA27" s="385">
        <v>0</v>
      </c>
      <c r="AB27" s="386"/>
      <c r="AC27" s="373"/>
      <c r="AD27" s="374"/>
      <c r="AE27" s="387"/>
      <c r="AF27" s="385">
        <v>0</v>
      </c>
      <c r="AG27" s="386"/>
      <c r="AH27" s="373"/>
      <c r="AI27" s="374"/>
      <c r="AJ27" s="387"/>
      <c r="AK27" s="385">
        <v>0</v>
      </c>
      <c r="AL27" s="386"/>
      <c r="AM27" s="373"/>
      <c r="AN27" s="374"/>
      <c r="AO27" s="387"/>
      <c r="AP27" s="385">
        <v>0</v>
      </c>
      <c r="AQ27" s="386"/>
      <c r="AR27" s="373"/>
      <c r="AS27" s="374"/>
      <c r="AT27" s="387"/>
      <c r="AU27" s="385">
        <v>0</v>
      </c>
      <c r="AV27" s="386"/>
      <c r="AW27" s="373"/>
      <c r="AX27" s="374"/>
      <c r="AY27" s="387"/>
      <c r="AZ27" s="385">
        <v>0</v>
      </c>
      <c r="BA27" s="386"/>
      <c r="BB27" s="373"/>
      <c r="BC27" s="374"/>
      <c r="BD27" s="387"/>
      <c r="BE27" s="385">
        <v>0</v>
      </c>
      <c r="BF27" s="386"/>
      <c r="BG27" s="373"/>
      <c r="BH27" s="374"/>
      <c r="BI27" s="387"/>
      <c r="BJ27" s="385">
        <v>0</v>
      </c>
      <c r="BK27" s="386"/>
      <c r="BL27" s="373"/>
      <c r="BM27" s="374"/>
      <c r="BN27" s="387"/>
      <c r="BO27" s="385">
        <v>0</v>
      </c>
      <c r="BP27" s="386"/>
      <c r="BQ27" s="373"/>
      <c r="BR27" s="374"/>
      <c r="BS27" s="387"/>
      <c r="BT27" s="385">
        <f t="shared" si="0"/>
        <v>0</v>
      </c>
      <c r="BU27" s="386"/>
      <c r="BV27" s="373"/>
      <c r="BW27" s="9"/>
      <c r="BX27" s="10"/>
      <c r="BY27" s="10"/>
    </row>
    <row r="28" spans="4:77" ht="12.75" hidden="1" customHeight="1" x14ac:dyDescent="0.2">
      <c r="D28" s="9" t="s">
        <v>423</v>
      </c>
      <c r="E28" s="156"/>
      <c r="F28" s="320"/>
      <c r="G28" s="385">
        <v>0</v>
      </c>
      <c r="H28" s="386"/>
      <c r="I28" s="373"/>
      <c r="J28" s="374"/>
      <c r="K28" s="387"/>
      <c r="L28" s="385">
        <v>0</v>
      </c>
      <c r="M28" s="386"/>
      <c r="N28" s="373"/>
      <c r="O28" s="374"/>
      <c r="P28" s="387"/>
      <c r="Q28" s="385">
        <v>0</v>
      </c>
      <c r="R28" s="386"/>
      <c r="S28" s="373"/>
      <c r="T28" s="374"/>
      <c r="U28" s="387"/>
      <c r="V28" s="385">
        <v>0</v>
      </c>
      <c r="W28" s="386"/>
      <c r="X28" s="373"/>
      <c r="Y28" s="374"/>
      <c r="Z28" s="387"/>
      <c r="AA28" s="385">
        <v>0</v>
      </c>
      <c r="AB28" s="386"/>
      <c r="AC28" s="373"/>
      <c r="AD28" s="374"/>
      <c r="AE28" s="387"/>
      <c r="AF28" s="385">
        <v>0</v>
      </c>
      <c r="AG28" s="386"/>
      <c r="AH28" s="373"/>
      <c r="AI28" s="374"/>
      <c r="AJ28" s="387"/>
      <c r="AK28" s="385">
        <v>0</v>
      </c>
      <c r="AL28" s="386"/>
      <c r="AM28" s="373"/>
      <c r="AN28" s="374"/>
      <c r="AO28" s="387"/>
      <c r="AP28" s="385">
        <v>0</v>
      </c>
      <c r="AQ28" s="386"/>
      <c r="AR28" s="373"/>
      <c r="AS28" s="374"/>
      <c r="AT28" s="387"/>
      <c r="AU28" s="385">
        <v>0</v>
      </c>
      <c r="AV28" s="386"/>
      <c r="AW28" s="373"/>
      <c r="AX28" s="374"/>
      <c r="AY28" s="387"/>
      <c r="AZ28" s="385">
        <v>0</v>
      </c>
      <c r="BA28" s="386"/>
      <c r="BB28" s="373"/>
      <c r="BC28" s="374"/>
      <c r="BD28" s="387"/>
      <c r="BE28" s="385">
        <v>0</v>
      </c>
      <c r="BF28" s="386"/>
      <c r="BG28" s="373"/>
      <c r="BH28" s="374"/>
      <c r="BI28" s="387"/>
      <c r="BJ28" s="385">
        <v>0</v>
      </c>
      <c r="BK28" s="386"/>
      <c r="BL28" s="373"/>
      <c r="BM28" s="374"/>
      <c r="BN28" s="387"/>
      <c r="BO28" s="385">
        <v>0</v>
      </c>
      <c r="BP28" s="386"/>
      <c r="BQ28" s="373"/>
      <c r="BR28" s="374"/>
      <c r="BS28" s="387"/>
      <c r="BT28" s="385">
        <f t="shared" si="0"/>
        <v>0</v>
      </c>
      <c r="BU28" s="386"/>
      <c r="BV28" s="373"/>
      <c r="BW28" s="9"/>
      <c r="BX28" s="10"/>
      <c r="BY28" s="10"/>
    </row>
    <row r="29" spans="4:77" hidden="1" x14ac:dyDescent="0.2">
      <c r="D29" s="9"/>
      <c r="E29" s="156"/>
      <c r="G29" s="373"/>
      <c r="H29" s="373"/>
      <c r="I29" s="373"/>
      <c r="J29" s="374"/>
      <c r="K29" s="373"/>
      <c r="L29" s="373"/>
      <c r="M29" s="373"/>
      <c r="N29" s="373"/>
      <c r="O29" s="374"/>
      <c r="P29" s="373"/>
      <c r="Q29" s="373"/>
      <c r="R29" s="373"/>
      <c r="S29" s="373"/>
      <c r="T29" s="374"/>
      <c r="U29" s="373"/>
      <c r="V29" s="373"/>
      <c r="W29" s="373"/>
      <c r="X29" s="373"/>
      <c r="Y29" s="374"/>
      <c r="Z29" s="373"/>
      <c r="AA29" s="373"/>
      <c r="AB29" s="373"/>
      <c r="AC29" s="373"/>
      <c r="AD29" s="374"/>
      <c r="AE29" s="373"/>
      <c r="AF29" s="373"/>
      <c r="AG29" s="373"/>
      <c r="AH29" s="373"/>
      <c r="AI29" s="374"/>
      <c r="AJ29" s="373"/>
      <c r="AK29" s="373"/>
      <c r="AL29" s="373"/>
      <c r="AM29" s="373"/>
      <c r="AN29" s="374"/>
      <c r="AO29" s="373"/>
      <c r="AP29" s="373"/>
      <c r="AQ29" s="373"/>
      <c r="AR29" s="373"/>
      <c r="AS29" s="374"/>
      <c r="AT29" s="373"/>
      <c r="AU29" s="373"/>
      <c r="AV29" s="373"/>
      <c r="AW29" s="373"/>
      <c r="AX29" s="374"/>
      <c r="AY29" s="373"/>
      <c r="AZ29" s="373"/>
      <c r="BA29" s="373"/>
      <c r="BB29" s="373"/>
      <c r="BC29" s="374"/>
      <c r="BD29" s="373"/>
      <c r="BE29" s="373"/>
      <c r="BF29" s="373"/>
      <c r="BG29" s="373"/>
      <c r="BH29" s="374"/>
      <c r="BI29" s="373"/>
      <c r="BJ29" s="373"/>
      <c r="BK29" s="373"/>
      <c r="BL29" s="373"/>
      <c r="BM29" s="374"/>
      <c r="BN29" s="373"/>
      <c r="BO29" s="373"/>
      <c r="BP29" s="373"/>
      <c r="BQ29" s="373"/>
      <c r="BR29" s="374"/>
      <c r="BS29" s="373"/>
      <c r="BT29" s="373"/>
      <c r="BU29" s="373"/>
      <c r="BV29" s="373"/>
      <c r="BW29" s="9"/>
      <c r="BX29" s="10"/>
      <c r="BY29" s="10"/>
    </row>
    <row r="30" spans="4:77" s="10" customFormat="1" hidden="1" x14ac:dyDescent="0.2">
      <c r="D30" s="79" t="s">
        <v>424</v>
      </c>
      <c r="E30" s="145"/>
      <c r="G30" s="368">
        <f>SUM(G31:G33)</f>
        <v>0</v>
      </c>
      <c r="H30" s="368"/>
      <c r="I30" s="368"/>
      <c r="J30" s="369"/>
      <c r="K30" s="368"/>
      <c r="L30" s="368">
        <f>SUM(L31:L33)</f>
        <v>0</v>
      </c>
      <c r="M30" s="368"/>
      <c r="N30" s="368"/>
      <c r="O30" s="369"/>
      <c r="P30" s="368"/>
      <c r="Q30" s="368">
        <f>SUM(Q31:Q33)</f>
        <v>0</v>
      </c>
      <c r="R30" s="368"/>
      <c r="S30" s="368"/>
      <c r="T30" s="369"/>
      <c r="U30" s="368"/>
      <c r="V30" s="368">
        <f>SUM(V31:V33)</f>
        <v>0</v>
      </c>
      <c r="W30" s="368"/>
      <c r="X30" s="368"/>
      <c r="Y30" s="369"/>
      <c r="Z30" s="368"/>
      <c r="AA30" s="368">
        <f>SUM(AA31:AA33)</f>
        <v>0</v>
      </c>
      <c r="AB30" s="368"/>
      <c r="AC30" s="368"/>
      <c r="AD30" s="369"/>
      <c r="AE30" s="368"/>
      <c r="AF30" s="368">
        <f>SUM(AF31:AF33)</f>
        <v>0</v>
      </c>
      <c r="AG30" s="368"/>
      <c r="AH30" s="368"/>
      <c r="AI30" s="369"/>
      <c r="AJ30" s="368"/>
      <c r="AK30" s="368">
        <f>SUM(AK31:AK33)</f>
        <v>0</v>
      </c>
      <c r="AL30" s="368"/>
      <c r="AM30" s="368"/>
      <c r="AN30" s="369"/>
      <c r="AO30" s="368"/>
      <c r="AP30" s="368">
        <f>SUM(AP31:AP33)</f>
        <v>0</v>
      </c>
      <c r="AQ30" s="368"/>
      <c r="AR30" s="368"/>
      <c r="AS30" s="369"/>
      <c r="AT30" s="368"/>
      <c r="AU30" s="368">
        <f>SUM(AU31:AU33)</f>
        <v>0</v>
      </c>
      <c r="AV30" s="368"/>
      <c r="AW30" s="368"/>
      <c r="AX30" s="369"/>
      <c r="AY30" s="368"/>
      <c r="AZ30" s="368">
        <f>SUM(AZ31:AZ33)</f>
        <v>0</v>
      </c>
      <c r="BA30" s="368"/>
      <c r="BB30" s="368"/>
      <c r="BC30" s="369"/>
      <c r="BD30" s="368"/>
      <c r="BE30" s="368">
        <f>SUM(BE31:BE33)</f>
        <v>0</v>
      </c>
      <c r="BF30" s="368"/>
      <c r="BG30" s="368"/>
      <c r="BH30" s="369"/>
      <c r="BI30" s="368"/>
      <c r="BJ30" s="368">
        <f>SUM(BJ31:BJ33)</f>
        <v>0</v>
      </c>
      <c r="BK30" s="368"/>
      <c r="BL30" s="368"/>
      <c r="BM30" s="369"/>
      <c r="BN30" s="368"/>
      <c r="BO30" s="368">
        <f>SUM(BO31:BO33)</f>
        <v>0</v>
      </c>
      <c r="BP30" s="368"/>
      <c r="BQ30" s="368"/>
      <c r="BR30" s="369"/>
      <c r="BS30" s="1"/>
      <c r="BT30" s="368">
        <f>SUM(BT31:BT33)</f>
        <v>0</v>
      </c>
      <c r="BU30" s="373"/>
      <c r="BV30" s="368"/>
      <c r="BW30" s="79"/>
    </row>
    <row r="31" spans="4:77" hidden="1" x14ac:dyDescent="0.2">
      <c r="D31" s="9" t="s">
        <v>343</v>
      </c>
      <c r="E31" s="156"/>
      <c r="F31" s="309"/>
      <c r="G31" s="371">
        <f>G36+G41+G51+G61+G46+G56</f>
        <v>0</v>
      </c>
      <c r="H31" s="372"/>
      <c r="I31" s="373"/>
      <c r="J31" s="374"/>
      <c r="K31" s="375"/>
      <c r="L31" s="371">
        <v>0</v>
      </c>
      <c r="M31" s="372"/>
      <c r="N31" s="373"/>
      <c r="O31" s="374"/>
      <c r="P31" s="375"/>
      <c r="Q31" s="371">
        <f>Q36+Q41+Q51+Q61+Q46+Q56</f>
        <v>0</v>
      </c>
      <c r="R31" s="372"/>
      <c r="S31" s="373"/>
      <c r="T31" s="384"/>
      <c r="U31" s="375"/>
      <c r="V31" s="371">
        <v>0</v>
      </c>
      <c r="W31" s="372"/>
      <c r="X31" s="373"/>
      <c r="Y31" s="374"/>
      <c r="Z31" s="375"/>
      <c r="AA31" s="371">
        <v>0</v>
      </c>
      <c r="AB31" s="372"/>
      <c r="AC31" s="373"/>
      <c r="AD31" s="374"/>
      <c r="AE31" s="375"/>
      <c r="AF31" s="371">
        <v>0</v>
      </c>
      <c r="AG31" s="372"/>
      <c r="AH31" s="373"/>
      <c r="AI31" s="374"/>
      <c r="AJ31" s="375"/>
      <c r="AK31" s="371">
        <v>0</v>
      </c>
      <c r="AL31" s="372"/>
      <c r="AM31" s="373"/>
      <c r="AN31" s="374"/>
      <c r="AO31" s="375"/>
      <c r="AP31" s="371">
        <v>0</v>
      </c>
      <c r="AQ31" s="372"/>
      <c r="AR31" s="373"/>
      <c r="AS31" s="374"/>
      <c r="AT31" s="375"/>
      <c r="AU31" s="371">
        <v>0</v>
      </c>
      <c r="AV31" s="372"/>
      <c r="AW31" s="373"/>
      <c r="AX31" s="374"/>
      <c r="AY31" s="375"/>
      <c r="AZ31" s="371">
        <v>0</v>
      </c>
      <c r="BA31" s="372"/>
      <c r="BB31" s="373"/>
      <c r="BC31" s="374"/>
      <c r="BD31" s="375"/>
      <c r="BE31" s="371">
        <v>0</v>
      </c>
      <c r="BF31" s="372"/>
      <c r="BG31" s="373"/>
      <c r="BH31" s="374"/>
      <c r="BI31" s="375"/>
      <c r="BJ31" s="371">
        <v>0</v>
      </c>
      <c r="BK31" s="372"/>
      <c r="BL31" s="373"/>
      <c r="BM31" s="374"/>
      <c r="BN31" s="375"/>
      <c r="BO31" s="371">
        <v>0</v>
      </c>
      <c r="BP31" s="372"/>
      <c r="BQ31" s="373"/>
      <c r="BR31" s="374"/>
      <c r="BS31" s="309"/>
      <c r="BT31" s="371">
        <f>BT36+BT41+BT51+BT61+BT46+BT56</f>
        <v>0</v>
      </c>
      <c r="BU31" s="372"/>
      <c r="BV31" s="373"/>
      <c r="BW31" s="9"/>
      <c r="BX31" s="10"/>
      <c r="BY31" s="10"/>
    </row>
    <row r="32" spans="4:77" hidden="1" x14ac:dyDescent="0.2">
      <c r="D32" s="9" t="s">
        <v>425</v>
      </c>
      <c r="E32" s="156"/>
      <c r="F32" s="156"/>
      <c r="G32" s="373">
        <v>0</v>
      </c>
      <c r="H32" s="377"/>
      <c r="I32" s="373"/>
      <c r="J32" s="374"/>
      <c r="K32" s="374"/>
      <c r="L32" s="373">
        <v>0</v>
      </c>
      <c r="M32" s="377"/>
      <c r="N32" s="373"/>
      <c r="O32" s="374"/>
      <c r="P32" s="374"/>
      <c r="Q32" s="373">
        <v>0</v>
      </c>
      <c r="R32" s="377"/>
      <c r="S32" s="373"/>
      <c r="T32" s="384"/>
      <c r="U32" s="374"/>
      <c r="V32" s="373">
        <v>0</v>
      </c>
      <c r="W32" s="377"/>
      <c r="X32" s="373"/>
      <c r="Y32" s="374"/>
      <c r="Z32" s="374"/>
      <c r="AA32" s="373">
        <v>0</v>
      </c>
      <c r="AB32" s="377"/>
      <c r="AC32" s="373"/>
      <c r="AD32" s="374"/>
      <c r="AE32" s="374"/>
      <c r="AF32" s="373">
        <v>0</v>
      </c>
      <c r="AG32" s="377"/>
      <c r="AH32" s="373"/>
      <c r="AI32" s="374"/>
      <c r="AJ32" s="374"/>
      <c r="AK32" s="373">
        <v>0</v>
      </c>
      <c r="AL32" s="377"/>
      <c r="AM32" s="373"/>
      <c r="AN32" s="374"/>
      <c r="AO32" s="374"/>
      <c r="AP32" s="373">
        <v>0</v>
      </c>
      <c r="AQ32" s="377"/>
      <c r="AR32" s="373"/>
      <c r="AS32" s="374"/>
      <c r="AT32" s="374"/>
      <c r="AU32" s="373">
        <v>0</v>
      </c>
      <c r="AV32" s="377"/>
      <c r="AW32" s="373"/>
      <c r="AX32" s="374"/>
      <c r="AY32" s="374"/>
      <c r="AZ32" s="373">
        <v>0</v>
      </c>
      <c r="BA32" s="377"/>
      <c r="BB32" s="373"/>
      <c r="BC32" s="374"/>
      <c r="BD32" s="374"/>
      <c r="BE32" s="373">
        <v>0</v>
      </c>
      <c r="BF32" s="377"/>
      <c r="BG32" s="373"/>
      <c r="BH32" s="374"/>
      <c r="BI32" s="374"/>
      <c r="BJ32" s="373">
        <v>0</v>
      </c>
      <c r="BK32" s="377"/>
      <c r="BL32" s="373"/>
      <c r="BM32" s="374"/>
      <c r="BN32" s="374"/>
      <c r="BO32" s="373">
        <v>0</v>
      </c>
      <c r="BP32" s="377"/>
      <c r="BQ32" s="373"/>
      <c r="BR32" s="374"/>
      <c r="BS32" s="156"/>
      <c r="BT32" s="373">
        <f>BT37+BT42+BT52+BT62+BT47+BT57</f>
        <v>0</v>
      </c>
      <c r="BU32" s="377"/>
      <c r="BV32" s="373"/>
      <c r="BW32" s="9"/>
      <c r="BX32" s="10"/>
      <c r="BY32" s="10"/>
    </row>
    <row r="33" spans="4:77" hidden="1" x14ac:dyDescent="0.2">
      <c r="D33" s="9" t="s">
        <v>426</v>
      </c>
      <c r="E33" s="156"/>
      <c r="F33" s="320"/>
      <c r="G33" s="385">
        <v>0</v>
      </c>
      <c r="H33" s="386"/>
      <c r="I33" s="373"/>
      <c r="J33" s="374"/>
      <c r="K33" s="387"/>
      <c r="L33" s="385">
        <v>0</v>
      </c>
      <c r="M33" s="386"/>
      <c r="N33" s="373"/>
      <c r="O33" s="374"/>
      <c r="P33" s="387"/>
      <c r="Q33" s="385">
        <v>0</v>
      </c>
      <c r="R33" s="386"/>
      <c r="S33" s="373"/>
      <c r="T33" s="384"/>
      <c r="U33" s="387"/>
      <c r="V33" s="385">
        <v>0</v>
      </c>
      <c r="W33" s="386"/>
      <c r="X33" s="373"/>
      <c r="Y33" s="374"/>
      <c r="Z33" s="387"/>
      <c r="AA33" s="385">
        <v>0</v>
      </c>
      <c r="AB33" s="386"/>
      <c r="AC33" s="373"/>
      <c r="AD33" s="374"/>
      <c r="AE33" s="387"/>
      <c r="AF33" s="385">
        <v>0</v>
      </c>
      <c r="AG33" s="386"/>
      <c r="AH33" s="373"/>
      <c r="AI33" s="374"/>
      <c r="AJ33" s="387"/>
      <c r="AK33" s="385">
        <v>0</v>
      </c>
      <c r="AL33" s="386"/>
      <c r="AM33" s="373"/>
      <c r="AN33" s="374"/>
      <c r="AO33" s="387"/>
      <c r="AP33" s="385">
        <v>0</v>
      </c>
      <c r="AQ33" s="386"/>
      <c r="AR33" s="373"/>
      <c r="AS33" s="374"/>
      <c r="AT33" s="387"/>
      <c r="AU33" s="385">
        <v>0</v>
      </c>
      <c r="AV33" s="386"/>
      <c r="AW33" s="373"/>
      <c r="AX33" s="374"/>
      <c r="AY33" s="387"/>
      <c r="AZ33" s="385">
        <v>0</v>
      </c>
      <c r="BA33" s="386"/>
      <c r="BB33" s="373"/>
      <c r="BC33" s="374"/>
      <c r="BD33" s="387"/>
      <c r="BE33" s="385">
        <v>0</v>
      </c>
      <c r="BF33" s="386"/>
      <c r="BG33" s="373"/>
      <c r="BH33" s="374"/>
      <c r="BI33" s="387"/>
      <c r="BJ33" s="385">
        <v>0</v>
      </c>
      <c r="BK33" s="386"/>
      <c r="BL33" s="373"/>
      <c r="BM33" s="374"/>
      <c r="BN33" s="387"/>
      <c r="BO33" s="385">
        <v>0</v>
      </c>
      <c r="BP33" s="386"/>
      <c r="BQ33" s="373"/>
      <c r="BR33" s="374"/>
      <c r="BS33" s="320"/>
      <c r="BT33" s="385">
        <f>BT38+BT43+BT53+BT63+BT48+BT58</f>
        <v>0</v>
      </c>
      <c r="BU33" s="386"/>
      <c r="BV33" s="373"/>
      <c r="BW33" s="9"/>
      <c r="BX33" s="10"/>
      <c r="BY33" s="10"/>
    </row>
    <row r="34" spans="4:77" ht="12.75" hidden="1" customHeight="1" x14ac:dyDescent="0.2">
      <c r="D34" s="9"/>
      <c r="E34" s="156"/>
      <c r="G34" s="373"/>
      <c r="H34" s="373"/>
      <c r="I34" s="373"/>
      <c r="J34" s="374"/>
      <c r="K34" s="373"/>
      <c r="L34" s="373"/>
      <c r="M34" s="373"/>
      <c r="N34" s="373"/>
      <c r="O34" s="374"/>
      <c r="P34" s="373"/>
      <c r="Q34" s="373"/>
      <c r="R34" s="373"/>
      <c r="S34" s="373"/>
      <c r="T34" s="374"/>
      <c r="U34" s="373"/>
      <c r="V34" s="373"/>
      <c r="W34" s="373"/>
      <c r="X34" s="373"/>
      <c r="Y34" s="374"/>
      <c r="Z34" s="373"/>
      <c r="AA34" s="373"/>
      <c r="AB34" s="373"/>
      <c r="AC34" s="373"/>
      <c r="AD34" s="374"/>
      <c r="AE34" s="373"/>
      <c r="AF34" s="373"/>
      <c r="AG34" s="373"/>
      <c r="AH34" s="373"/>
      <c r="AI34" s="374"/>
      <c r="AJ34" s="373"/>
      <c r="AK34" s="373"/>
      <c r="AL34" s="373"/>
      <c r="AM34" s="373"/>
      <c r="AN34" s="374"/>
      <c r="AO34" s="373"/>
      <c r="AP34" s="373"/>
      <c r="AQ34" s="373"/>
      <c r="AR34" s="373"/>
      <c r="AS34" s="374"/>
      <c r="AT34" s="373"/>
      <c r="AU34" s="373"/>
      <c r="AV34" s="373"/>
      <c r="AW34" s="373"/>
      <c r="AX34" s="374"/>
      <c r="AY34" s="373"/>
      <c r="AZ34" s="373"/>
      <c r="BA34" s="373"/>
      <c r="BB34" s="373"/>
      <c r="BC34" s="374"/>
      <c r="BD34" s="373"/>
      <c r="BE34" s="373"/>
      <c r="BF34" s="373"/>
      <c r="BG34" s="373"/>
      <c r="BH34" s="374"/>
      <c r="BI34" s="373"/>
      <c r="BJ34" s="373"/>
      <c r="BK34" s="373"/>
      <c r="BL34" s="373"/>
      <c r="BM34" s="374"/>
      <c r="BN34" s="373"/>
      <c r="BO34" s="373"/>
      <c r="BP34" s="373"/>
      <c r="BQ34" s="373"/>
      <c r="BR34" s="374"/>
      <c r="BS34" s="373"/>
      <c r="BT34" s="373"/>
      <c r="BU34" s="373"/>
      <c r="BV34" s="373"/>
      <c r="BW34" s="9"/>
      <c r="BX34" s="10"/>
      <c r="BY34" s="10"/>
    </row>
    <row r="35" spans="4:77" ht="12.75" hidden="1" customHeight="1" x14ac:dyDescent="0.2">
      <c r="D35" s="9" t="s">
        <v>427</v>
      </c>
      <c r="E35" s="156"/>
      <c r="G35" s="373">
        <v>0</v>
      </c>
      <c r="H35" s="373"/>
      <c r="I35" s="373"/>
      <c r="J35" s="374"/>
      <c r="L35" s="373">
        <f>SUM(L36:L38)</f>
        <v>0</v>
      </c>
      <c r="M35" s="373"/>
      <c r="N35" s="373"/>
      <c r="O35" s="374"/>
      <c r="Q35" s="373">
        <f>SUM(Q36:Q38)</f>
        <v>0</v>
      </c>
      <c r="R35" s="373"/>
      <c r="S35" s="373"/>
      <c r="T35" s="374"/>
      <c r="V35" s="373">
        <f>SUM(V36:V38)</f>
        <v>0</v>
      </c>
      <c r="W35" s="373"/>
      <c r="X35" s="373"/>
      <c r="Y35" s="374"/>
      <c r="AA35" s="373">
        <f>SUM(AA36:AA38)</f>
        <v>0</v>
      </c>
      <c r="AB35" s="373"/>
      <c r="AC35" s="373"/>
      <c r="AD35" s="374"/>
      <c r="AF35" s="373">
        <f>SUM(AF36:AF38)</f>
        <v>0</v>
      </c>
      <c r="AG35" s="373"/>
      <c r="AH35" s="373"/>
      <c r="AI35" s="374"/>
      <c r="AK35" s="373">
        <f>SUM(AK36:AK38)</f>
        <v>0</v>
      </c>
      <c r="AL35" s="373"/>
      <c r="AM35" s="373"/>
      <c r="AN35" s="374"/>
      <c r="AP35" s="373">
        <f>SUM(AP36:AP38)</f>
        <v>0</v>
      </c>
      <c r="AQ35" s="373"/>
      <c r="AR35" s="373"/>
      <c r="AS35" s="374"/>
      <c r="AU35" s="373">
        <f>SUM(AU36:AU38)</f>
        <v>0</v>
      </c>
      <c r="AV35" s="373"/>
      <c r="AW35" s="373"/>
      <c r="AX35" s="374"/>
      <c r="AZ35" s="373">
        <f>SUM(AZ36:AZ38)</f>
        <v>0</v>
      </c>
      <c r="BA35" s="373"/>
      <c r="BB35" s="373"/>
      <c r="BC35" s="374"/>
      <c r="BE35" s="373">
        <f>SUM(BE36:BE38)</f>
        <v>0</v>
      </c>
      <c r="BF35" s="373"/>
      <c r="BG35" s="373"/>
      <c r="BH35" s="374"/>
      <c r="BJ35" s="373">
        <f>SUM(BJ36:BJ38)</f>
        <v>0</v>
      </c>
      <c r="BK35" s="373"/>
      <c r="BL35" s="373"/>
      <c r="BM35" s="374"/>
      <c r="BO35" s="373">
        <f>SUM(BO36:BO38)</f>
        <v>0</v>
      </c>
      <c r="BP35" s="373"/>
      <c r="BQ35" s="373"/>
      <c r="BR35" s="374"/>
      <c r="BT35" s="385">
        <f>SUM(BT36:BT38)</f>
        <v>0</v>
      </c>
      <c r="BU35" s="373"/>
      <c r="BV35" s="373"/>
      <c r="BW35" s="9"/>
      <c r="BX35" s="10"/>
      <c r="BY35" s="10"/>
    </row>
    <row r="36" spans="4:77" ht="12.75" hidden="1" customHeight="1" x14ac:dyDescent="0.2">
      <c r="D36" s="9" t="s">
        <v>343</v>
      </c>
      <c r="E36" s="156"/>
      <c r="F36" s="309"/>
      <c r="G36" s="371">
        <v>0</v>
      </c>
      <c r="H36" s="372"/>
      <c r="I36" s="373"/>
      <c r="J36" s="374"/>
      <c r="K36" s="309"/>
      <c r="L36" s="371">
        <v>0</v>
      </c>
      <c r="M36" s="372"/>
      <c r="N36" s="373"/>
      <c r="O36" s="374"/>
      <c r="P36" s="309"/>
      <c r="Q36" s="371">
        <v>0</v>
      </c>
      <c r="R36" s="372"/>
      <c r="S36" s="373"/>
      <c r="T36" s="374"/>
      <c r="U36" s="309"/>
      <c r="V36" s="371">
        <v>0</v>
      </c>
      <c r="W36" s="372"/>
      <c r="X36" s="373"/>
      <c r="Y36" s="374"/>
      <c r="Z36" s="309"/>
      <c r="AA36" s="371">
        <v>0</v>
      </c>
      <c r="AB36" s="372"/>
      <c r="AC36" s="373"/>
      <c r="AD36" s="374"/>
      <c r="AE36" s="309"/>
      <c r="AF36" s="371">
        <v>0</v>
      </c>
      <c r="AG36" s="372"/>
      <c r="AH36" s="373"/>
      <c r="AI36" s="374"/>
      <c r="AJ36" s="309"/>
      <c r="AK36" s="371">
        <v>0</v>
      </c>
      <c r="AL36" s="372"/>
      <c r="AM36" s="373"/>
      <c r="AN36" s="374"/>
      <c r="AO36" s="309"/>
      <c r="AP36" s="371">
        <v>0</v>
      </c>
      <c r="AQ36" s="372"/>
      <c r="AR36" s="373"/>
      <c r="AS36" s="374"/>
      <c r="AT36" s="309"/>
      <c r="AU36" s="371">
        <v>0</v>
      </c>
      <c r="AV36" s="372"/>
      <c r="AW36" s="373"/>
      <c r="AX36" s="374"/>
      <c r="AY36" s="309"/>
      <c r="AZ36" s="371">
        <v>0</v>
      </c>
      <c r="BA36" s="372"/>
      <c r="BB36" s="373"/>
      <c r="BC36" s="374"/>
      <c r="BD36" s="309"/>
      <c r="BE36" s="371">
        <v>0</v>
      </c>
      <c r="BF36" s="372"/>
      <c r="BG36" s="373"/>
      <c r="BH36" s="374"/>
      <c r="BI36" s="309"/>
      <c r="BJ36" s="371">
        <v>0</v>
      </c>
      <c r="BK36" s="372"/>
      <c r="BL36" s="373"/>
      <c r="BM36" s="374"/>
      <c r="BN36" s="309"/>
      <c r="BO36" s="371">
        <v>0</v>
      </c>
      <c r="BP36" s="372"/>
      <c r="BQ36" s="373"/>
      <c r="BR36" s="374"/>
      <c r="BS36" s="309"/>
      <c r="BT36" s="373">
        <f>SUM(L36:BO36)</f>
        <v>0</v>
      </c>
      <c r="BU36" s="372"/>
      <c r="BV36" s="373"/>
      <c r="BW36" s="9"/>
      <c r="BX36" s="10"/>
      <c r="BY36" s="10"/>
    </row>
    <row r="37" spans="4:77" ht="12.75" hidden="1" customHeight="1" x14ac:dyDescent="0.2">
      <c r="D37" s="9" t="s">
        <v>425</v>
      </c>
      <c r="E37" s="156"/>
      <c r="F37" s="156"/>
      <c r="G37" s="373">
        <v>0</v>
      </c>
      <c r="H37" s="377"/>
      <c r="I37" s="373"/>
      <c r="J37" s="374"/>
      <c r="K37" s="156"/>
      <c r="L37" s="373">
        <v>0</v>
      </c>
      <c r="M37" s="377"/>
      <c r="N37" s="373"/>
      <c r="O37" s="374"/>
      <c r="P37" s="156"/>
      <c r="Q37" s="373">
        <v>0</v>
      </c>
      <c r="R37" s="377"/>
      <c r="S37" s="373"/>
      <c r="T37" s="374"/>
      <c r="U37" s="156"/>
      <c r="V37" s="373">
        <v>0</v>
      </c>
      <c r="W37" s="377"/>
      <c r="X37" s="373"/>
      <c r="Y37" s="374"/>
      <c r="Z37" s="156"/>
      <c r="AA37" s="373">
        <v>0</v>
      </c>
      <c r="AB37" s="377"/>
      <c r="AC37" s="373"/>
      <c r="AD37" s="374"/>
      <c r="AE37" s="156"/>
      <c r="AF37" s="373">
        <v>0</v>
      </c>
      <c r="AG37" s="377"/>
      <c r="AH37" s="373"/>
      <c r="AI37" s="374"/>
      <c r="AJ37" s="156"/>
      <c r="AK37" s="373">
        <v>0</v>
      </c>
      <c r="AL37" s="377"/>
      <c r="AM37" s="373"/>
      <c r="AN37" s="374"/>
      <c r="AO37" s="156"/>
      <c r="AP37" s="373">
        <v>0</v>
      </c>
      <c r="AQ37" s="377"/>
      <c r="AR37" s="373"/>
      <c r="AS37" s="374"/>
      <c r="AT37" s="156"/>
      <c r="AU37" s="373">
        <v>0</v>
      </c>
      <c r="AV37" s="377"/>
      <c r="AW37" s="373"/>
      <c r="AX37" s="374"/>
      <c r="AY37" s="156"/>
      <c r="AZ37" s="373">
        <v>0</v>
      </c>
      <c r="BA37" s="377"/>
      <c r="BB37" s="373"/>
      <c r="BC37" s="374"/>
      <c r="BD37" s="156"/>
      <c r="BE37" s="373">
        <v>0</v>
      </c>
      <c r="BF37" s="377"/>
      <c r="BG37" s="373"/>
      <c r="BH37" s="374"/>
      <c r="BI37" s="156"/>
      <c r="BJ37" s="373">
        <v>0</v>
      </c>
      <c r="BK37" s="377"/>
      <c r="BL37" s="373"/>
      <c r="BM37" s="374"/>
      <c r="BN37" s="156"/>
      <c r="BO37" s="373">
        <v>0</v>
      </c>
      <c r="BP37" s="377"/>
      <c r="BQ37" s="373"/>
      <c r="BR37" s="374"/>
      <c r="BS37" s="156"/>
      <c r="BT37" s="373">
        <f>SUM(L37:BO37)</f>
        <v>0</v>
      </c>
      <c r="BU37" s="377"/>
      <c r="BV37" s="373"/>
      <c r="BW37" s="9"/>
      <c r="BX37" s="10"/>
      <c r="BY37" s="10"/>
    </row>
    <row r="38" spans="4:77" ht="12.75" hidden="1" customHeight="1" x14ac:dyDescent="0.2">
      <c r="D38" s="9" t="s">
        <v>426</v>
      </c>
      <c r="E38" s="156"/>
      <c r="F38" s="320"/>
      <c r="G38" s="385">
        <v>0</v>
      </c>
      <c r="H38" s="386"/>
      <c r="I38" s="373"/>
      <c r="J38" s="374"/>
      <c r="K38" s="320"/>
      <c r="L38" s="385">
        <v>0</v>
      </c>
      <c r="M38" s="386"/>
      <c r="N38" s="373"/>
      <c r="O38" s="374"/>
      <c r="P38" s="320"/>
      <c r="Q38" s="385">
        <v>0</v>
      </c>
      <c r="R38" s="386"/>
      <c r="S38" s="373"/>
      <c r="T38" s="374"/>
      <c r="U38" s="320"/>
      <c r="V38" s="385">
        <v>0</v>
      </c>
      <c r="W38" s="386"/>
      <c r="X38" s="373"/>
      <c r="Y38" s="374"/>
      <c r="Z38" s="320"/>
      <c r="AA38" s="385">
        <v>0</v>
      </c>
      <c r="AB38" s="386"/>
      <c r="AC38" s="373"/>
      <c r="AD38" s="374"/>
      <c r="AE38" s="320"/>
      <c r="AF38" s="385">
        <v>0</v>
      </c>
      <c r="AG38" s="386"/>
      <c r="AH38" s="373"/>
      <c r="AI38" s="374"/>
      <c r="AJ38" s="320"/>
      <c r="AK38" s="385">
        <v>0</v>
      </c>
      <c r="AL38" s="386"/>
      <c r="AM38" s="373"/>
      <c r="AN38" s="374"/>
      <c r="AO38" s="320"/>
      <c r="AP38" s="385">
        <v>0</v>
      </c>
      <c r="AQ38" s="386"/>
      <c r="AR38" s="373"/>
      <c r="AS38" s="374"/>
      <c r="AT38" s="320"/>
      <c r="AU38" s="385">
        <v>0</v>
      </c>
      <c r="AV38" s="386"/>
      <c r="AW38" s="373"/>
      <c r="AX38" s="374"/>
      <c r="AY38" s="320"/>
      <c r="AZ38" s="385">
        <v>0</v>
      </c>
      <c r="BA38" s="386"/>
      <c r="BB38" s="373"/>
      <c r="BC38" s="374"/>
      <c r="BD38" s="320"/>
      <c r="BE38" s="385">
        <v>0</v>
      </c>
      <c r="BF38" s="386"/>
      <c r="BG38" s="373"/>
      <c r="BH38" s="374"/>
      <c r="BI38" s="320"/>
      <c r="BJ38" s="385">
        <v>0</v>
      </c>
      <c r="BK38" s="386"/>
      <c r="BL38" s="373"/>
      <c r="BM38" s="374"/>
      <c r="BN38" s="320"/>
      <c r="BO38" s="385">
        <v>0</v>
      </c>
      <c r="BP38" s="386"/>
      <c r="BQ38" s="373"/>
      <c r="BR38" s="374"/>
      <c r="BS38" s="320"/>
      <c r="BT38" s="385">
        <f>SUM(L38:BO38)</f>
        <v>0</v>
      </c>
      <c r="BU38" s="386"/>
      <c r="BV38" s="373"/>
      <c r="BW38" s="9"/>
      <c r="BX38" s="10"/>
      <c r="BY38" s="10"/>
    </row>
    <row r="39" spans="4:77" hidden="1" x14ac:dyDescent="0.2">
      <c r="D39" s="9"/>
      <c r="E39" s="156"/>
      <c r="G39" s="373"/>
      <c r="H39" s="373"/>
      <c r="I39" s="373"/>
      <c r="J39" s="374"/>
      <c r="K39" s="373"/>
      <c r="L39" s="373"/>
      <c r="M39" s="373"/>
      <c r="N39" s="373"/>
      <c r="O39" s="374"/>
      <c r="P39" s="373"/>
      <c r="Q39" s="373"/>
      <c r="R39" s="373"/>
      <c r="S39" s="373"/>
      <c r="T39" s="374"/>
      <c r="U39" s="373"/>
      <c r="V39" s="373"/>
      <c r="W39" s="373"/>
      <c r="X39" s="373"/>
      <c r="Y39" s="374"/>
      <c r="Z39" s="373"/>
      <c r="AA39" s="373"/>
      <c r="AB39" s="373"/>
      <c r="AC39" s="373"/>
      <c r="AD39" s="374"/>
      <c r="AE39" s="373"/>
      <c r="AF39" s="373"/>
      <c r="AG39" s="373"/>
      <c r="AH39" s="373"/>
      <c r="AI39" s="374"/>
      <c r="AJ39" s="373"/>
      <c r="AK39" s="373"/>
      <c r="AL39" s="373"/>
      <c r="AM39" s="373"/>
      <c r="AN39" s="374"/>
      <c r="AO39" s="373"/>
      <c r="AP39" s="373"/>
      <c r="AQ39" s="373"/>
      <c r="AR39" s="373"/>
      <c r="AS39" s="374"/>
      <c r="AT39" s="373"/>
      <c r="AU39" s="373"/>
      <c r="AV39" s="373"/>
      <c r="AW39" s="373"/>
      <c r="AX39" s="374"/>
      <c r="AY39" s="373"/>
      <c r="AZ39" s="373"/>
      <c r="BA39" s="373"/>
      <c r="BB39" s="373"/>
      <c r="BC39" s="374"/>
      <c r="BD39" s="373"/>
      <c r="BE39" s="373"/>
      <c r="BF39" s="373"/>
      <c r="BG39" s="373"/>
      <c r="BH39" s="374"/>
      <c r="BI39" s="373"/>
      <c r="BJ39" s="373"/>
      <c r="BK39" s="373"/>
      <c r="BL39" s="373"/>
      <c r="BM39" s="374"/>
      <c r="BN39" s="373"/>
      <c r="BO39" s="373"/>
      <c r="BP39" s="373"/>
      <c r="BQ39" s="373"/>
      <c r="BR39" s="374"/>
      <c r="BS39" s="373"/>
      <c r="BT39" s="373"/>
      <c r="BU39" s="373"/>
      <c r="BV39" s="373"/>
      <c r="BW39" s="9"/>
      <c r="BX39" s="10"/>
      <c r="BY39" s="10"/>
    </row>
    <row r="40" spans="4:77" hidden="1" x14ac:dyDescent="0.2">
      <c r="D40" s="9" t="s">
        <v>428</v>
      </c>
      <c r="E40" s="156"/>
      <c r="G40" s="373">
        <v>0</v>
      </c>
      <c r="H40" s="373"/>
      <c r="I40" s="373"/>
      <c r="J40" s="374"/>
      <c r="L40" s="373">
        <f>SUM(L41:L43)</f>
        <v>0</v>
      </c>
      <c r="M40" s="373"/>
      <c r="N40" s="373"/>
      <c r="O40" s="374"/>
      <c r="Q40" s="373">
        <f>SUM(Q41:Q43)</f>
        <v>0</v>
      </c>
      <c r="R40" s="373"/>
      <c r="S40" s="373"/>
      <c r="T40" s="374"/>
      <c r="V40" s="373">
        <f>SUM(V41:V43)</f>
        <v>0</v>
      </c>
      <c r="W40" s="373"/>
      <c r="X40" s="373"/>
      <c r="Y40" s="374"/>
      <c r="AA40" s="373">
        <f>SUM(AA41:AA43)</f>
        <v>0</v>
      </c>
      <c r="AB40" s="373"/>
      <c r="AC40" s="373"/>
      <c r="AD40" s="374"/>
      <c r="AF40" s="373">
        <f>SUM(AF41:AF43)</f>
        <v>0</v>
      </c>
      <c r="AG40" s="373"/>
      <c r="AH40" s="373"/>
      <c r="AI40" s="374"/>
      <c r="AK40" s="373">
        <f>SUM(AK41:AK43)</f>
        <v>0</v>
      </c>
      <c r="AL40" s="373"/>
      <c r="AM40" s="373"/>
      <c r="AN40" s="374"/>
      <c r="AP40" s="373">
        <f>SUM(AP41:AP43)</f>
        <v>0</v>
      </c>
      <c r="AQ40" s="373"/>
      <c r="AR40" s="373"/>
      <c r="AS40" s="374"/>
      <c r="AU40" s="373">
        <f>SUM(AU41:AU43)</f>
        <v>0</v>
      </c>
      <c r="AV40" s="373"/>
      <c r="AW40" s="373"/>
      <c r="AX40" s="374"/>
      <c r="AZ40" s="373">
        <f>SUM(AZ41:AZ43)</f>
        <v>0</v>
      </c>
      <c r="BA40" s="373"/>
      <c r="BB40" s="373"/>
      <c r="BC40" s="374"/>
      <c r="BE40" s="373">
        <f>SUM(BE41:BE43)</f>
        <v>0</v>
      </c>
      <c r="BF40" s="373"/>
      <c r="BG40" s="373"/>
      <c r="BH40" s="374"/>
      <c r="BJ40" s="373">
        <f>SUM(BJ41:BJ43)</f>
        <v>0</v>
      </c>
      <c r="BK40" s="373"/>
      <c r="BL40" s="373"/>
      <c r="BM40" s="374"/>
      <c r="BO40" s="373">
        <f>SUM(BO41:BO43)</f>
        <v>0</v>
      </c>
      <c r="BP40" s="373"/>
      <c r="BQ40" s="373"/>
      <c r="BR40" s="374"/>
      <c r="BT40" s="373">
        <f>SUM(BT41:BT43)</f>
        <v>0</v>
      </c>
      <c r="BU40" s="373"/>
      <c r="BV40" s="373"/>
      <c r="BW40" s="9"/>
      <c r="BX40" s="10"/>
      <c r="BY40" s="10"/>
    </row>
    <row r="41" spans="4:77" hidden="1" x14ac:dyDescent="0.2">
      <c r="D41" s="9" t="s">
        <v>343</v>
      </c>
      <c r="E41" s="156"/>
      <c r="F41" s="309"/>
      <c r="G41" s="371">
        <v>0</v>
      </c>
      <c r="H41" s="372"/>
      <c r="I41" s="373"/>
      <c r="J41" s="374"/>
      <c r="K41" s="309"/>
      <c r="L41" s="371">
        <v>0</v>
      </c>
      <c r="M41" s="372"/>
      <c r="N41" s="373"/>
      <c r="O41" s="374"/>
      <c r="P41" s="309"/>
      <c r="Q41" s="371">
        <v>0</v>
      </c>
      <c r="R41" s="372"/>
      <c r="S41" s="373"/>
      <c r="T41" s="374"/>
      <c r="U41" s="309"/>
      <c r="V41" s="371">
        <v>0</v>
      </c>
      <c r="W41" s="372"/>
      <c r="X41" s="373"/>
      <c r="Y41" s="374"/>
      <c r="Z41" s="309"/>
      <c r="AA41" s="371">
        <v>0</v>
      </c>
      <c r="AB41" s="372"/>
      <c r="AC41" s="373"/>
      <c r="AD41" s="374"/>
      <c r="AE41" s="309"/>
      <c r="AF41" s="371">
        <v>0</v>
      </c>
      <c r="AG41" s="372"/>
      <c r="AH41" s="373"/>
      <c r="AI41" s="374"/>
      <c r="AJ41" s="309"/>
      <c r="AK41" s="371">
        <v>0</v>
      </c>
      <c r="AL41" s="372"/>
      <c r="AM41" s="373"/>
      <c r="AN41" s="374"/>
      <c r="AO41" s="309"/>
      <c r="AP41" s="371">
        <v>0</v>
      </c>
      <c r="AQ41" s="372"/>
      <c r="AR41" s="373"/>
      <c r="AS41" s="374"/>
      <c r="AT41" s="309"/>
      <c r="AU41" s="371">
        <v>0</v>
      </c>
      <c r="AV41" s="372"/>
      <c r="AW41" s="373"/>
      <c r="AX41" s="374"/>
      <c r="AY41" s="309"/>
      <c r="AZ41" s="371">
        <v>0</v>
      </c>
      <c r="BA41" s="372"/>
      <c r="BB41" s="373"/>
      <c r="BC41" s="374"/>
      <c r="BD41" s="309"/>
      <c r="BE41" s="371">
        <v>0</v>
      </c>
      <c r="BF41" s="372"/>
      <c r="BG41" s="373"/>
      <c r="BH41" s="374"/>
      <c r="BI41" s="309"/>
      <c r="BJ41" s="371">
        <v>0</v>
      </c>
      <c r="BK41" s="372"/>
      <c r="BL41" s="373"/>
      <c r="BM41" s="374"/>
      <c r="BN41" s="309"/>
      <c r="BO41" s="371">
        <v>0</v>
      </c>
      <c r="BP41" s="372"/>
      <c r="BQ41" s="373"/>
      <c r="BR41" s="374"/>
      <c r="BS41" s="309"/>
      <c r="BT41" s="371">
        <f>SUM(L41:BO41)</f>
        <v>0</v>
      </c>
      <c r="BU41" s="372"/>
      <c r="BV41" s="373"/>
      <c r="BW41" s="9"/>
      <c r="BX41" s="10"/>
      <c r="BY41" s="10"/>
    </row>
    <row r="42" spans="4:77" hidden="1" x14ac:dyDescent="0.2">
      <c r="D42" s="9" t="s">
        <v>425</v>
      </c>
      <c r="E42" s="156"/>
      <c r="F42" s="156"/>
      <c r="G42" s="373">
        <v>0</v>
      </c>
      <c r="H42" s="377"/>
      <c r="I42" s="373"/>
      <c r="J42" s="374"/>
      <c r="K42" s="156"/>
      <c r="L42" s="373">
        <v>0</v>
      </c>
      <c r="M42" s="377"/>
      <c r="N42" s="373"/>
      <c r="O42" s="374"/>
      <c r="P42" s="156"/>
      <c r="Q42" s="373">
        <v>0</v>
      </c>
      <c r="R42" s="377"/>
      <c r="S42" s="373"/>
      <c r="T42" s="374"/>
      <c r="U42" s="156"/>
      <c r="V42" s="373">
        <v>0</v>
      </c>
      <c r="W42" s="377"/>
      <c r="X42" s="373"/>
      <c r="Y42" s="374"/>
      <c r="Z42" s="156"/>
      <c r="AA42" s="373">
        <v>0</v>
      </c>
      <c r="AB42" s="377"/>
      <c r="AC42" s="373"/>
      <c r="AD42" s="374"/>
      <c r="AE42" s="156"/>
      <c r="AF42" s="373">
        <v>0</v>
      </c>
      <c r="AG42" s="377"/>
      <c r="AH42" s="373"/>
      <c r="AI42" s="374"/>
      <c r="AJ42" s="156"/>
      <c r="AK42" s="373">
        <v>0</v>
      </c>
      <c r="AL42" s="377"/>
      <c r="AM42" s="373"/>
      <c r="AN42" s="374"/>
      <c r="AO42" s="156"/>
      <c r="AP42" s="373">
        <v>0</v>
      </c>
      <c r="AQ42" s="377"/>
      <c r="AR42" s="373"/>
      <c r="AS42" s="374"/>
      <c r="AT42" s="156"/>
      <c r="AU42" s="373">
        <v>0</v>
      </c>
      <c r="AV42" s="377"/>
      <c r="AW42" s="373"/>
      <c r="AX42" s="374"/>
      <c r="AY42" s="156"/>
      <c r="AZ42" s="373">
        <v>0</v>
      </c>
      <c r="BA42" s="377"/>
      <c r="BB42" s="373"/>
      <c r="BC42" s="374"/>
      <c r="BD42" s="156"/>
      <c r="BE42" s="373">
        <v>0</v>
      </c>
      <c r="BF42" s="377"/>
      <c r="BG42" s="373"/>
      <c r="BH42" s="374"/>
      <c r="BI42" s="156"/>
      <c r="BJ42" s="373">
        <v>0</v>
      </c>
      <c r="BK42" s="377"/>
      <c r="BL42" s="373"/>
      <c r="BM42" s="374"/>
      <c r="BN42" s="156"/>
      <c r="BO42" s="373">
        <v>0</v>
      </c>
      <c r="BP42" s="377"/>
      <c r="BQ42" s="373"/>
      <c r="BR42" s="374"/>
      <c r="BS42" s="156"/>
      <c r="BT42" s="373">
        <f>SUM(L42:BO42)</f>
        <v>0</v>
      </c>
      <c r="BU42" s="377"/>
      <c r="BV42" s="373"/>
      <c r="BW42" s="9"/>
      <c r="BX42" s="10"/>
      <c r="BY42" s="10"/>
    </row>
    <row r="43" spans="4:77" hidden="1" x14ac:dyDescent="0.2">
      <c r="D43" s="9" t="s">
        <v>426</v>
      </c>
      <c r="E43" s="156"/>
      <c r="F43" s="320"/>
      <c r="G43" s="385">
        <v>0</v>
      </c>
      <c r="H43" s="386"/>
      <c r="I43" s="373"/>
      <c r="J43" s="374"/>
      <c r="K43" s="320"/>
      <c r="L43" s="385">
        <v>0</v>
      </c>
      <c r="M43" s="386"/>
      <c r="N43" s="373"/>
      <c r="O43" s="374"/>
      <c r="P43" s="320"/>
      <c r="Q43" s="385">
        <v>0</v>
      </c>
      <c r="R43" s="386"/>
      <c r="S43" s="373"/>
      <c r="T43" s="374"/>
      <c r="U43" s="320"/>
      <c r="V43" s="385">
        <v>0</v>
      </c>
      <c r="W43" s="386"/>
      <c r="X43" s="373"/>
      <c r="Y43" s="374"/>
      <c r="Z43" s="320"/>
      <c r="AA43" s="385">
        <v>0</v>
      </c>
      <c r="AB43" s="386"/>
      <c r="AC43" s="373"/>
      <c r="AD43" s="374"/>
      <c r="AE43" s="320"/>
      <c r="AF43" s="385">
        <v>0</v>
      </c>
      <c r="AG43" s="386"/>
      <c r="AH43" s="373"/>
      <c r="AI43" s="374"/>
      <c r="AJ43" s="320"/>
      <c r="AK43" s="385">
        <v>0</v>
      </c>
      <c r="AL43" s="386"/>
      <c r="AM43" s="373"/>
      <c r="AN43" s="374"/>
      <c r="AO43" s="320"/>
      <c r="AP43" s="385">
        <v>0</v>
      </c>
      <c r="AQ43" s="386"/>
      <c r="AR43" s="373"/>
      <c r="AS43" s="374"/>
      <c r="AT43" s="320"/>
      <c r="AU43" s="385">
        <v>0</v>
      </c>
      <c r="AV43" s="386"/>
      <c r="AW43" s="373"/>
      <c r="AX43" s="374"/>
      <c r="AY43" s="320"/>
      <c r="AZ43" s="385">
        <v>0</v>
      </c>
      <c r="BA43" s="386"/>
      <c r="BB43" s="373"/>
      <c r="BC43" s="374"/>
      <c r="BD43" s="320"/>
      <c r="BE43" s="385">
        <v>0</v>
      </c>
      <c r="BF43" s="386"/>
      <c r="BG43" s="373"/>
      <c r="BH43" s="374"/>
      <c r="BI43" s="320"/>
      <c r="BJ43" s="385">
        <v>0</v>
      </c>
      <c r="BK43" s="386"/>
      <c r="BL43" s="373"/>
      <c r="BM43" s="374"/>
      <c r="BN43" s="320"/>
      <c r="BO43" s="385">
        <v>0</v>
      </c>
      <c r="BP43" s="386"/>
      <c r="BQ43" s="373"/>
      <c r="BR43" s="374"/>
      <c r="BS43" s="320"/>
      <c r="BT43" s="385">
        <f>SUM(L43:BO43)</f>
        <v>0</v>
      </c>
      <c r="BU43" s="386"/>
      <c r="BV43" s="373"/>
      <c r="BW43" s="9"/>
      <c r="BX43" s="10"/>
      <c r="BY43" s="10"/>
    </row>
    <row r="44" spans="4:77" ht="12.75" hidden="1" customHeight="1" x14ac:dyDescent="0.2">
      <c r="D44" s="9"/>
      <c r="E44" s="156"/>
      <c r="G44" s="373"/>
      <c r="H44" s="373"/>
      <c r="I44" s="373"/>
      <c r="J44" s="374"/>
      <c r="K44" s="373"/>
      <c r="L44" s="373"/>
      <c r="M44" s="373"/>
      <c r="N44" s="373"/>
      <c r="O44" s="374"/>
      <c r="P44" s="373"/>
      <c r="Q44" s="373"/>
      <c r="R44" s="373"/>
      <c r="S44" s="373"/>
      <c r="T44" s="374"/>
      <c r="U44" s="373"/>
      <c r="V44" s="373"/>
      <c r="W44" s="373"/>
      <c r="X44" s="373"/>
      <c r="Y44" s="374"/>
      <c r="Z44" s="373"/>
      <c r="AA44" s="373"/>
      <c r="AB44" s="373"/>
      <c r="AC44" s="373"/>
      <c r="AD44" s="374"/>
      <c r="AE44" s="373"/>
      <c r="AF44" s="373"/>
      <c r="AG44" s="373"/>
      <c r="AH44" s="373"/>
      <c r="AI44" s="374"/>
      <c r="AJ44" s="373"/>
      <c r="AK44" s="373"/>
      <c r="AL44" s="373"/>
      <c r="AM44" s="373"/>
      <c r="AN44" s="374"/>
      <c r="AO44" s="373"/>
      <c r="AP44" s="373"/>
      <c r="AQ44" s="373"/>
      <c r="AR44" s="373"/>
      <c r="AS44" s="374"/>
      <c r="AT44" s="373"/>
      <c r="AU44" s="373"/>
      <c r="AV44" s="373"/>
      <c r="AW44" s="373"/>
      <c r="AX44" s="374"/>
      <c r="AY44" s="373"/>
      <c r="AZ44" s="373"/>
      <c r="BA44" s="373"/>
      <c r="BB44" s="373"/>
      <c r="BC44" s="374"/>
      <c r="BD44" s="373"/>
      <c r="BE44" s="373"/>
      <c r="BF44" s="373"/>
      <c r="BG44" s="373"/>
      <c r="BH44" s="374"/>
      <c r="BI44" s="373"/>
      <c r="BJ44" s="373"/>
      <c r="BK44" s="373"/>
      <c r="BL44" s="373"/>
      <c r="BM44" s="374"/>
      <c r="BN44" s="373"/>
      <c r="BO44" s="373"/>
      <c r="BP44" s="373"/>
      <c r="BQ44" s="373"/>
      <c r="BR44" s="374"/>
      <c r="BS44" s="373"/>
      <c r="BT44" s="373"/>
      <c r="BU44" s="373"/>
      <c r="BV44" s="373"/>
      <c r="BW44" s="9"/>
      <c r="BX44" s="10"/>
      <c r="BY44" s="10"/>
    </row>
    <row r="45" spans="4:77" ht="12.75" hidden="1" customHeight="1" x14ac:dyDescent="0.2">
      <c r="D45" s="9" t="s">
        <v>364</v>
      </c>
      <c r="E45" s="156"/>
      <c r="G45" s="373">
        <f>SUM(G46:G48)</f>
        <v>0</v>
      </c>
      <c r="H45" s="373"/>
      <c r="I45" s="373"/>
      <c r="J45" s="374"/>
      <c r="K45" s="373"/>
      <c r="L45" s="373">
        <f>SUM(L46:L48)</f>
        <v>0</v>
      </c>
      <c r="M45" s="373"/>
      <c r="N45" s="373"/>
      <c r="O45" s="374"/>
      <c r="Q45" s="373">
        <f>SUM(Q46:Q48)</f>
        <v>0</v>
      </c>
      <c r="R45" s="373"/>
      <c r="S45" s="373"/>
      <c r="T45" s="374"/>
      <c r="V45" s="373">
        <f>SUM(V46:V48)</f>
        <v>0</v>
      </c>
      <c r="W45" s="373"/>
      <c r="X45" s="373"/>
      <c r="Y45" s="374"/>
      <c r="AA45" s="373">
        <f>SUM(AA46:AA48)</f>
        <v>0</v>
      </c>
      <c r="AB45" s="373"/>
      <c r="AC45" s="373"/>
      <c r="AD45" s="374"/>
      <c r="AF45" s="373">
        <f>SUM(AF46:AF48)</f>
        <v>0</v>
      </c>
      <c r="AG45" s="373"/>
      <c r="AH45" s="373"/>
      <c r="AI45" s="374"/>
      <c r="AK45" s="373">
        <f>SUM(AK46:AK48)</f>
        <v>0</v>
      </c>
      <c r="AL45" s="373"/>
      <c r="AM45" s="373"/>
      <c r="AN45" s="374"/>
      <c r="AP45" s="373">
        <f>SUM(AP46:AP48)</f>
        <v>0</v>
      </c>
      <c r="AQ45" s="373"/>
      <c r="AR45" s="373"/>
      <c r="AS45" s="374"/>
      <c r="AU45" s="373">
        <f>SUM(AU46:AU48)</f>
        <v>0</v>
      </c>
      <c r="AV45" s="373"/>
      <c r="AW45" s="373"/>
      <c r="AX45" s="374"/>
      <c r="AZ45" s="373">
        <f>SUM(AZ46:AZ48)</f>
        <v>0</v>
      </c>
      <c r="BA45" s="373"/>
      <c r="BB45" s="373"/>
      <c r="BC45" s="374"/>
      <c r="BE45" s="373">
        <f>SUM(BE46:BE48)</f>
        <v>0</v>
      </c>
      <c r="BF45" s="373"/>
      <c r="BG45" s="373"/>
      <c r="BH45" s="374"/>
      <c r="BJ45" s="373">
        <f>SUM(BJ46:BJ48)</f>
        <v>0</v>
      </c>
      <c r="BK45" s="373"/>
      <c r="BL45" s="373"/>
      <c r="BM45" s="374"/>
      <c r="BO45" s="373">
        <f>SUM(BO46:BO48)</f>
        <v>0</v>
      </c>
      <c r="BP45" s="373"/>
      <c r="BQ45" s="373"/>
      <c r="BR45" s="374"/>
      <c r="BS45" s="373"/>
      <c r="BT45" s="373">
        <f>SUM(BT46:BT48)</f>
        <v>0</v>
      </c>
      <c r="BU45" s="373"/>
      <c r="BV45" s="373"/>
      <c r="BW45" s="9"/>
      <c r="BX45" s="10"/>
      <c r="BY45" s="10"/>
    </row>
    <row r="46" spans="4:77" ht="12.75" hidden="1" customHeight="1" x14ac:dyDescent="0.2">
      <c r="D46" s="9" t="s">
        <v>343</v>
      </c>
      <c r="E46" s="156"/>
      <c r="F46" s="309"/>
      <c r="G46" s="371">
        <v>0</v>
      </c>
      <c r="H46" s="372"/>
      <c r="I46" s="373"/>
      <c r="J46" s="374"/>
      <c r="K46" s="375"/>
      <c r="L46" s="371">
        <v>0</v>
      </c>
      <c r="M46" s="372"/>
      <c r="N46" s="373"/>
      <c r="O46" s="374"/>
      <c r="P46" s="309"/>
      <c r="Q46" s="371">
        <v>0</v>
      </c>
      <c r="R46" s="372"/>
      <c r="S46" s="373"/>
      <c r="T46" s="374"/>
      <c r="U46" s="309"/>
      <c r="V46" s="371">
        <v>0</v>
      </c>
      <c r="W46" s="372"/>
      <c r="X46" s="373"/>
      <c r="Y46" s="374"/>
      <c r="Z46" s="309"/>
      <c r="AA46" s="371">
        <v>0</v>
      </c>
      <c r="AB46" s="372"/>
      <c r="AC46" s="373"/>
      <c r="AD46" s="374"/>
      <c r="AE46" s="309"/>
      <c r="AF46" s="371">
        <v>0</v>
      </c>
      <c r="AG46" s="372"/>
      <c r="AH46" s="373"/>
      <c r="AI46" s="374"/>
      <c r="AJ46" s="309"/>
      <c r="AK46" s="371">
        <v>0</v>
      </c>
      <c r="AL46" s="372"/>
      <c r="AM46" s="373"/>
      <c r="AN46" s="374"/>
      <c r="AO46" s="309"/>
      <c r="AP46" s="371">
        <v>0</v>
      </c>
      <c r="AQ46" s="372"/>
      <c r="AR46" s="373"/>
      <c r="AS46" s="374"/>
      <c r="AT46" s="309"/>
      <c r="AU46" s="371">
        <v>0</v>
      </c>
      <c r="AV46" s="372"/>
      <c r="AW46" s="373"/>
      <c r="AX46" s="374"/>
      <c r="AY46" s="309"/>
      <c r="AZ46" s="371">
        <v>0</v>
      </c>
      <c r="BA46" s="372"/>
      <c r="BB46" s="373"/>
      <c r="BC46" s="374"/>
      <c r="BD46" s="309"/>
      <c r="BE46" s="371">
        <v>0</v>
      </c>
      <c r="BF46" s="372"/>
      <c r="BG46" s="373"/>
      <c r="BH46" s="374"/>
      <c r="BI46" s="309"/>
      <c r="BJ46" s="371">
        <v>0</v>
      </c>
      <c r="BK46" s="372"/>
      <c r="BL46" s="373"/>
      <c r="BM46" s="374"/>
      <c r="BN46" s="309"/>
      <c r="BO46" s="371">
        <v>0</v>
      </c>
      <c r="BP46" s="372"/>
      <c r="BQ46" s="373"/>
      <c r="BR46" s="374"/>
      <c r="BS46" s="375"/>
      <c r="BT46" s="371">
        <f>SUM(L46:BO46)</f>
        <v>0</v>
      </c>
      <c r="BU46" s="372"/>
      <c r="BV46" s="373"/>
      <c r="BW46" s="9"/>
      <c r="BX46" s="10"/>
      <c r="BY46" s="10"/>
    </row>
    <row r="47" spans="4:77" ht="12.75" hidden="1" customHeight="1" x14ac:dyDescent="0.2">
      <c r="D47" s="9" t="s">
        <v>425</v>
      </c>
      <c r="E47" s="156"/>
      <c r="F47" s="156"/>
      <c r="G47" s="373">
        <v>0</v>
      </c>
      <c r="H47" s="377"/>
      <c r="I47" s="373"/>
      <c r="J47" s="374"/>
      <c r="K47" s="374"/>
      <c r="L47" s="373">
        <v>0</v>
      </c>
      <c r="M47" s="377"/>
      <c r="N47" s="373"/>
      <c r="O47" s="374"/>
      <c r="P47" s="156"/>
      <c r="Q47" s="373">
        <v>0</v>
      </c>
      <c r="R47" s="377"/>
      <c r="S47" s="373"/>
      <c r="T47" s="374"/>
      <c r="U47" s="156"/>
      <c r="V47" s="373">
        <v>0</v>
      </c>
      <c r="W47" s="377"/>
      <c r="X47" s="373"/>
      <c r="Y47" s="374"/>
      <c r="Z47" s="156"/>
      <c r="AA47" s="373">
        <v>0</v>
      </c>
      <c r="AB47" s="377"/>
      <c r="AC47" s="373"/>
      <c r="AD47" s="374"/>
      <c r="AE47" s="156"/>
      <c r="AF47" s="373">
        <v>0</v>
      </c>
      <c r="AG47" s="377"/>
      <c r="AH47" s="373"/>
      <c r="AI47" s="374"/>
      <c r="AJ47" s="156"/>
      <c r="AK47" s="373">
        <v>0</v>
      </c>
      <c r="AL47" s="377"/>
      <c r="AM47" s="373"/>
      <c r="AN47" s="374"/>
      <c r="AO47" s="156"/>
      <c r="AP47" s="373">
        <v>0</v>
      </c>
      <c r="AQ47" s="377"/>
      <c r="AR47" s="373"/>
      <c r="AS47" s="374"/>
      <c r="AT47" s="156"/>
      <c r="AU47" s="373">
        <v>0</v>
      </c>
      <c r="AV47" s="377"/>
      <c r="AW47" s="373"/>
      <c r="AX47" s="374"/>
      <c r="AY47" s="156"/>
      <c r="AZ47" s="373">
        <v>0</v>
      </c>
      <c r="BA47" s="377"/>
      <c r="BB47" s="373"/>
      <c r="BC47" s="374"/>
      <c r="BD47" s="156"/>
      <c r="BE47" s="373">
        <v>0</v>
      </c>
      <c r="BF47" s="377"/>
      <c r="BG47" s="373"/>
      <c r="BH47" s="374"/>
      <c r="BI47" s="156"/>
      <c r="BJ47" s="373">
        <v>0</v>
      </c>
      <c r="BK47" s="377"/>
      <c r="BL47" s="373"/>
      <c r="BM47" s="374"/>
      <c r="BN47" s="156"/>
      <c r="BO47" s="373">
        <v>0</v>
      </c>
      <c r="BP47" s="377"/>
      <c r="BQ47" s="373"/>
      <c r="BR47" s="374"/>
      <c r="BS47" s="374"/>
      <c r="BT47" s="373">
        <f>SUM(L47:BO47)</f>
        <v>0</v>
      </c>
      <c r="BU47" s="377"/>
      <c r="BV47" s="373"/>
      <c r="BW47" s="9"/>
      <c r="BX47" s="10"/>
      <c r="BY47" s="10"/>
    </row>
    <row r="48" spans="4:77" ht="12.75" hidden="1" customHeight="1" x14ac:dyDescent="0.2">
      <c r="D48" s="9" t="s">
        <v>426</v>
      </c>
      <c r="E48" s="156"/>
      <c r="F48" s="320"/>
      <c r="G48" s="385">
        <v>0</v>
      </c>
      <c r="H48" s="386"/>
      <c r="I48" s="373"/>
      <c r="J48" s="374"/>
      <c r="K48" s="387"/>
      <c r="L48" s="385">
        <v>0</v>
      </c>
      <c r="M48" s="386"/>
      <c r="N48" s="373"/>
      <c r="O48" s="374"/>
      <c r="P48" s="320"/>
      <c r="Q48" s="385">
        <v>0</v>
      </c>
      <c r="R48" s="386"/>
      <c r="S48" s="373"/>
      <c r="T48" s="374"/>
      <c r="U48" s="320"/>
      <c r="V48" s="385">
        <v>0</v>
      </c>
      <c r="W48" s="386"/>
      <c r="X48" s="373"/>
      <c r="Y48" s="374"/>
      <c r="Z48" s="320"/>
      <c r="AA48" s="385">
        <v>0</v>
      </c>
      <c r="AB48" s="386"/>
      <c r="AC48" s="373"/>
      <c r="AD48" s="374"/>
      <c r="AE48" s="320"/>
      <c r="AF48" s="385">
        <v>0</v>
      </c>
      <c r="AG48" s="386"/>
      <c r="AH48" s="373"/>
      <c r="AI48" s="374"/>
      <c r="AJ48" s="320"/>
      <c r="AK48" s="385">
        <v>0</v>
      </c>
      <c r="AL48" s="386"/>
      <c r="AM48" s="373"/>
      <c r="AN48" s="374"/>
      <c r="AO48" s="320"/>
      <c r="AP48" s="385">
        <v>0</v>
      </c>
      <c r="AQ48" s="386"/>
      <c r="AR48" s="373"/>
      <c r="AS48" s="374"/>
      <c r="AT48" s="320"/>
      <c r="AU48" s="385">
        <v>0</v>
      </c>
      <c r="AV48" s="386"/>
      <c r="AW48" s="373"/>
      <c r="AX48" s="374"/>
      <c r="AY48" s="320"/>
      <c r="AZ48" s="385">
        <v>0</v>
      </c>
      <c r="BA48" s="386"/>
      <c r="BB48" s="373"/>
      <c r="BC48" s="374"/>
      <c r="BD48" s="320"/>
      <c r="BE48" s="385">
        <v>0</v>
      </c>
      <c r="BF48" s="386"/>
      <c r="BG48" s="373"/>
      <c r="BH48" s="374"/>
      <c r="BI48" s="320"/>
      <c r="BJ48" s="385">
        <v>0</v>
      </c>
      <c r="BK48" s="386"/>
      <c r="BL48" s="373"/>
      <c r="BM48" s="374"/>
      <c r="BN48" s="320"/>
      <c r="BO48" s="385">
        <v>0</v>
      </c>
      <c r="BP48" s="386"/>
      <c r="BQ48" s="373"/>
      <c r="BR48" s="374"/>
      <c r="BS48" s="387"/>
      <c r="BT48" s="385">
        <f>SUM(L48:BO48)</f>
        <v>0</v>
      </c>
      <c r="BU48" s="386"/>
      <c r="BV48" s="373"/>
      <c r="BW48" s="9"/>
      <c r="BX48" s="10"/>
      <c r="BY48" s="10"/>
    </row>
    <row r="49" spans="4:77" ht="12.75" hidden="1" customHeight="1" x14ac:dyDescent="0.2">
      <c r="D49" s="9"/>
      <c r="E49" s="156"/>
      <c r="G49" s="373"/>
      <c r="H49" s="373"/>
      <c r="I49" s="373"/>
      <c r="J49" s="374"/>
      <c r="K49" s="373"/>
      <c r="L49" s="373"/>
      <c r="M49" s="373"/>
      <c r="N49" s="373"/>
      <c r="O49" s="374"/>
      <c r="P49" s="373"/>
      <c r="Q49" s="373"/>
      <c r="R49" s="373"/>
      <c r="S49" s="373"/>
      <c r="T49" s="374"/>
      <c r="U49" s="373"/>
      <c r="V49" s="373"/>
      <c r="W49" s="373"/>
      <c r="X49" s="373"/>
      <c r="Y49" s="374"/>
      <c r="Z49" s="373"/>
      <c r="AA49" s="373"/>
      <c r="AB49" s="373"/>
      <c r="AC49" s="373"/>
      <c r="AD49" s="374"/>
      <c r="AE49" s="373"/>
      <c r="AF49" s="373"/>
      <c r="AG49" s="373"/>
      <c r="AH49" s="373"/>
      <c r="AI49" s="374"/>
      <c r="AJ49" s="373"/>
      <c r="AK49" s="373"/>
      <c r="AL49" s="373"/>
      <c r="AM49" s="373"/>
      <c r="AN49" s="374"/>
      <c r="AO49" s="373"/>
      <c r="AP49" s="373"/>
      <c r="AQ49" s="373"/>
      <c r="AR49" s="373"/>
      <c r="AS49" s="374"/>
      <c r="AT49" s="373"/>
      <c r="AU49" s="373"/>
      <c r="AV49" s="373"/>
      <c r="AW49" s="373"/>
      <c r="AX49" s="374"/>
      <c r="AY49" s="373"/>
      <c r="AZ49" s="373"/>
      <c r="BA49" s="373"/>
      <c r="BB49" s="373"/>
      <c r="BC49" s="374"/>
      <c r="BD49" s="373"/>
      <c r="BE49" s="373"/>
      <c r="BF49" s="373"/>
      <c r="BG49" s="373"/>
      <c r="BH49" s="374"/>
      <c r="BI49" s="373"/>
      <c r="BJ49" s="373"/>
      <c r="BK49" s="373"/>
      <c r="BL49" s="373"/>
      <c r="BM49" s="374"/>
      <c r="BN49" s="373"/>
      <c r="BO49" s="373"/>
      <c r="BP49" s="373"/>
      <c r="BQ49" s="373"/>
      <c r="BR49" s="374"/>
      <c r="BS49" s="373"/>
      <c r="BT49" s="373"/>
      <c r="BU49" s="373"/>
      <c r="BV49" s="373"/>
      <c r="BW49" s="9"/>
      <c r="BX49" s="10"/>
      <c r="BY49" s="10"/>
    </row>
    <row r="50" spans="4:77" ht="12.75" hidden="1" customHeight="1" x14ac:dyDescent="0.2">
      <c r="D50" s="9" t="s">
        <v>429</v>
      </c>
      <c r="E50" s="156"/>
      <c r="G50" s="373">
        <v>0</v>
      </c>
      <c r="H50" s="373"/>
      <c r="I50" s="373"/>
      <c r="J50" s="374"/>
      <c r="K50" s="373"/>
      <c r="L50" s="373">
        <f>SUM(L51:L53)</f>
        <v>0</v>
      </c>
      <c r="M50" s="373"/>
      <c r="N50" s="373"/>
      <c r="O50" s="374"/>
      <c r="Q50" s="373">
        <f>SUM(Q51:Q53)</f>
        <v>0</v>
      </c>
      <c r="R50" s="373"/>
      <c r="S50" s="373"/>
      <c r="T50" s="374"/>
      <c r="V50" s="373">
        <f>SUM(V51:V53)</f>
        <v>0</v>
      </c>
      <c r="W50" s="373"/>
      <c r="X50" s="373"/>
      <c r="Y50" s="374"/>
      <c r="AA50" s="373">
        <f>SUM(AA51:AA53)</f>
        <v>0</v>
      </c>
      <c r="AB50" s="373"/>
      <c r="AC50" s="373"/>
      <c r="AD50" s="374"/>
      <c r="AF50" s="373">
        <f>SUM(AF51:AF53)</f>
        <v>0</v>
      </c>
      <c r="AG50" s="373"/>
      <c r="AH50" s="373"/>
      <c r="AI50" s="374"/>
      <c r="AK50" s="373">
        <f>SUM(AK51:AK53)</f>
        <v>0</v>
      </c>
      <c r="AL50" s="373"/>
      <c r="AM50" s="373"/>
      <c r="AN50" s="374"/>
      <c r="AP50" s="373">
        <f>SUM(AP51:AP53)</f>
        <v>0</v>
      </c>
      <c r="AQ50" s="373"/>
      <c r="AR50" s="373"/>
      <c r="AS50" s="374"/>
      <c r="AU50" s="373">
        <f>SUM(AU51:AU53)</f>
        <v>0</v>
      </c>
      <c r="AV50" s="373"/>
      <c r="AW50" s="373"/>
      <c r="AX50" s="374"/>
      <c r="AZ50" s="373">
        <f>SUM(AZ51:AZ53)</f>
        <v>0</v>
      </c>
      <c r="BA50" s="373"/>
      <c r="BB50" s="373"/>
      <c r="BC50" s="374"/>
      <c r="BE50" s="373">
        <f>SUM(BE51:BE53)</f>
        <v>0</v>
      </c>
      <c r="BF50" s="373"/>
      <c r="BG50" s="373"/>
      <c r="BH50" s="374"/>
      <c r="BJ50" s="373">
        <f>SUM(BJ51:BJ53)</f>
        <v>0</v>
      </c>
      <c r="BK50" s="373"/>
      <c r="BL50" s="373"/>
      <c r="BM50" s="374"/>
      <c r="BO50" s="373">
        <f>SUM(BO51:BO53)</f>
        <v>0</v>
      </c>
      <c r="BP50" s="373"/>
      <c r="BQ50" s="373"/>
      <c r="BR50" s="374"/>
      <c r="BS50" s="373"/>
      <c r="BT50" s="373">
        <f>SUM(BT51:BT53)</f>
        <v>0</v>
      </c>
      <c r="BU50" s="373"/>
      <c r="BV50" s="373"/>
      <c r="BW50" s="9"/>
      <c r="BX50" s="10"/>
      <c r="BY50" s="10"/>
    </row>
    <row r="51" spans="4:77" ht="12.75" hidden="1" customHeight="1" x14ac:dyDescent="0.2">
      <c r="D51" s="9" t="s">
        <v>343</v>
      </c>
      <c r="E51" s="156"/>
      <c r="F51" s="309"/>
      <c r="G51" s="371">
        <v>0</v>
      </c>
      <c r="H51" s="372"/>
      <c r="I51" s="373"/>
      <c r="J51" s="374"/>
      <c r="K51" s="375"/>
      <c r="L51" s="371">
        <v>0</v>
      </c>
      <c r="M51" s="372"/>
      <c r="N51" s="373"/>
      <c r="O51" s="374"/>
      <c r="P51" s="309"/>
      <c r="Q51" s="371">
        <v>0</v>
      </c>
      <c r="R51" s="372"/>
      <c r="S51" s="373"/>
      <c r="T51" s="374"/>
      <c r="U51" s="309"/>
      <c r="V51" s="371">
        <v>0</v>
      </c>
      <c r="W51" s="372"/>
      <c r="X51" s="373"/>
      <c r="Y51" s="374"/>
      <c r="Z51" s="309"/>
      <c r="AA51" s="371">
        <v>0</v>
      </c>
      <c r="AB51" s="372"/>
      <c r="AC51" s="373"/>
      <c r="AD51" s="374"/>
      <c r="AE51" s="309"/>
      <c r="AF51" s="371">
        <v>0</v>
      </c>
      <c r="AG51" s="372"/>
      <c r="AH51" s="373"/>
      <c r="AI51" s="374"/>
      <c r="AJ51" s="309"/>
      <c r="AK51" s="371">
        <v>0</v>
      </c>
      <c r="AL51" s="372"/>
      <c r="AM51" s="373"/>
      <c r="AN51" s="374"/>
      <c r="AO51" s="309"/>
      <c r="AP51" s="371">
        <v>0</v>
      </c>
      <c r="AQ51" s="372"/>
      <c r="AR51" s="373"/>
      <c r="AS51" s="374"/>
      <c r="AT51" s="309"/>
      <c r="AU51" s="371">
        <v>0</v>
      </c>
      <c r="AV51" s="372"/>
      <c r="AW51" s="373"/>
      <c r="AX51" s="374"/>
      <c r="AY51" s="309"/>
      <c r="AZ51" s="371">
        <v>0</v>
      </c>
      <c r="BA51" s="372"/>
      <c r="BB51" s="373"/>
      <c r="BC51" s="374"/>
      <c r="BD51" s="309"/>
      <c r="BE51" s="371">
        <v>0</v>
      </c>
      <c r="BF51" s="372"/>
      <c r="BG51" s="373"/>
      <c r="BH51" s="374"/>
      <c r="BI51" s="309"/>
      <c r="BJ51" s="371">
        <v>0</v>
      </c>
      <c r="BK51" s="372"/>
      <c r="BL51" s="373"/>
      <c r="BM51" s="374"/>
      <c r="BN51" s="309"/>
      <c r="BO51" s="371">
        <v>0</v>
      </c>
      <c r="BP51" s="372"/>
      <c r="BQ51" s="373"/>
      <c r="BR51" s="374"/>
      <c r="BS51" s="375"/>
      <c r="BT51" s="371">
        <f>SUM(L51:BO51)</f>
        <v>0</v>
      </c>
      <c r="BU51" s="372"/>
      <c r="BV51" s="373"/>
      <c r="BW51" s="9"/>
      <c r="BX51" s="10"/>
      <c r="BY51" s="10"/>
    </row>
    <row r="52" spans="4:77" ht="12.75" hidden="1" customHeight="1" x14ac:dyDescent="0.2">
      <c r="D52" s="9" t="s">
        <v>425</v>
      </c>
      <c r="E52" s="156"/>
      <c r="F52" s="156"/>
      <c r="G52" s="373">
        <v>0</v>
      </c>
      <c r="H52" s="377"/>
      <c r="I52" s="373"/>
      <c r="J52" s="374"/>
      <c r="K52" s="374"/>
      <c r="L52" s="373">
        <v>0</v>
      </c>
      <c r="M52" s="377"/>
      <c r="N52" s="373"/>
      <c r="O52" s="374"/>
      <c r="P52" s="156"/>
      <c r="Q52" s="373">
        <v>0</v>
      </c>
      <c r="R52" s="377"/>
      <c r="S52" s="373"/>
      <c r="T52" s="374"/>
      <c r="U52" s="156"/>
      <c r="V52" s="373">
        <v>0</v>
      </c>
      <c r="W52" s="377"/>
      <c r="X52" s="373"/>
      <c r="Y52" s="374"/>
      <c r="Z52" s="156"/>
      <c r="AA52" s="373">
        <v>0</v>
      </c>
      <c r="AB52" s="377"/>
      <c r="AC52" s="373"/>
      <c r="AD52" s="374"/>
      <c r="AE52" s="156"/>
      <c r="AF52" s="373">
        <v>0</v>
      </c>
      <c r="AG52" s="377"/>
      <c r="AH52" s="373"/>
      <c r="AI52" s="374"/>
      <c r="AJ52" s="156"/>
      <c r="AK52" s="373">
        <v>0</v>
      </c>
      <c r="AL52" s="377"/>
      <c r="AM52" s="373"/>
      <c r="AN52" s="374"/>
      <c r="AO52" s="156"/>
      <c r="AP52" s="373">
        <v>0</v>
      </c>
      <c r="AQ52" s="377"/>
      <c r="AR52" s="373"/>
      <c r="AS52" s="374"/>
      <c r="AT52" s="156"/>
      <c r="AU52" s="373">
        <v>0</v>
      </c>
      <c r="AV52" s="377"/>
      <c r="AW52" s="373"/>
      <c r="AX52" s="374"/>
      <c r="AY52" s="156"/>
      <c r="AZ52" s="373">
        <v>0</v>
      </c>
      <c r="BA52" s="377"/>
      <c r="BB52" s="373"/>
      <c r="BC52" s="374"/>
      <c r="BD52" s="156"/>
      <c r="BE52" s="373">
        <v>0</v>
      </c>
      <c r="BF52" s="377"/>
      <c r="BG52" s="373"/>
      <c r="BH52" s="374"/>
      <c r="BI52" s="156"/>
      <c r="BJ52" s="373">
        <v>0</v>
      </c>
      <c r="BK52" s="377"/>
      <c r="BL52" s="373"/>
      <c r="BM52" s="374"/>
      <c r="BN52" s="156"/>
      <c r="BO52" s="373">
        <v>0</v>
      </c>
      <c r="BP52" s="377"/>
      <c r="BQ52" s="373"/>
      <c r="BR52" s="374"/>
      <c r="BS52" s="374"/>
      <c r="BT52" s="373">
        <f>SUM(L52:BO52)</f>
        <v>0</v>
      </c>
      <c r="BU52" s="377"/>
      <c r="BV52" s="373"/>
      <c r="BW52" s="9"/>
      <c r="BX52" s="10"/>
      <c r="BY52" s="10"/>
    </row>
    <row r="53" spans="4:77" ht="12.75" hidden="1" customHeight="1" x14ac:dyDescent="0.2">
      <c r="D53" s="9" t="s">
        <v>426</v>
      </c>
      <c r="E53" s="156"/>
      <c r="F53" s="320"/>
      <c r="G53" s="385">
        <v>0</v>
      </c>
      <c r="H53" s="386"/>
      <c r="I53" s="373"/>
      <c r="J53" s="374"/>
      <c r="K53" s="387"/>
      <c r="L53" s="385">
        <v>0</v>
      </c>
      <c r="M53" s="386"/>
      <c r="N53" s="373"/>
      <c r="O53" s="374"/>
      <c r="P53" s="320"/>
      <c r="Q53" s="385">
        <v>0</v>
      </c>
      <c r="R53" s="386"/>
      <c r="S53" s="373"/>
      <c r="T53" s="374"/>
      <c r="U53" s="320"/>
      <c r="V53" s="385">
        <v>0</v>
      </c>
      <c r="W53" s="386"/>
      <c r="X53" s="373"/>
      <c r="Y53" s="374"/>
      <c r="Z53" s="320"/>
      <c r="AA53" s="385">
        <v>0</v>
      </c>
      <c r="AB53" s="386"/>
      <c r="AC53" s="373"/>
      <c r="AD53" s="374"/>
      <c r="AE53" s="320"/>
      <c r="AF53" s="385">
        <v>0</v>
      </c>
      <c r="AG53" s="386"/>
      <c r="AH53" s="373"/>
      <c r="AI53" s="374"/>
      <c r="AJ53" s="320"/>
      <c r="AK53" s="385">
        <v>0</v>
      </c>
      <c r="AL53" s="386"/>
      <c r="AM53" s="373"/>
      <c r="AN53" s="374"/>
      <c r="AO53" s="320"/>
      <c r="AP53" s="385">
        <v>0</v>
      </c>
      <c r="AQ53" s="386"/>
      <c r="AR53" s="373"/>
      <c r="AS53" s="374"/>
      <c r="AT53" s="320"/>
      <c r="AU53" s="385">
        <v>0</v>
      </c>
      <c r="AV53" s="386"/>
      <c r="AW53" s="373"/>
      <c r="AX53" s="374"/>
      <c r="AY53" s="320"/>
      <c r="AZ53" s="385">
        <v>0</v>
      </c>
      <c r="BA53" s="386"/>
      <c r="BB53" s="373"/>
      <c r="BC53" s="374"/>
      <c r="BD53" s="320"/>
      <c r="BE53" s="385">
        <v>0</v>
      </c>
      <c r="BF53" s="386"/>
      <c r="BG53" s="373"/>
      <c r="BH53" s="374"/>
      <c r="BI53" s="320"/>
      <c r="BJ53" s="385">
        <v>0</v>
      </c>
      <c r="BK53" s="386"/>
      <c r="BL53" s="373"/>
      <c r="BM53" s="374"/>
      <c r="BN53" s="320"/>
      <c r="BO53" s="385">
        <v>0</v>
      </c>
      <c r="BP53" s="386"/>
      <c r="BQ53" s="373"/>
      <c r="BR53" s="374"/>
      <c r="BS53" s="387"/>
      <c r="BT53" s="385">
        <f>SUM(L53:BO53)</f>
        <v>0</v>
      </c>
      <c r="BU53" s="386"/>
      <c r="BV53" s="373"/>
      <c r="BW53" s="9"/>
      <c r="BX53" s="10"/>
      <c r="BY53" s="10"/>
    </row>
    <row r="54" spans="4:77" hidden="1" x14ac:dyDescent="0.2">
      <c r="D54" s="9"/>
      <c r="E54" s="156"/>
      <c r="G54" s="373"/>
      <c r="H54" s="373"/>
      <c r="I54" s="373"/>
      <c r="J54" s="374"/>
      <c r="K54" s="373"/>
      <c r="L54" s="373"/>
      <c r="M54" s="373"/>
      <c r="N54" s="373"/>
      <c r="O54" s="374"/>
      <c r="P54" s="373"/>
      <c r="Q54" s="373"/>
      <c r="R54" s="373"/>
      <c r="S54" s="373"/>
      <c r="T54" s="374"/>
      <c r="U54" s="373"/>
      <c r="V54" s="373"/>
      <c r="W54" s="373"/>
      <c r="X54" s="373"/>
      <c r="Y54" s="374"/>
      <c r="Z54" s="373"/>
      <c r="AA54" s="373"/>
      <c r="AB54" s="373"/>
      <c r="AC54" s="373"/>
      <c r="AD54" s="374"/>
      <c r="AE54" s="373"/>
      <c r="AF54" s="373"/>
      <c r="AG54" s="373"/>
      <c r="AH54" s="373"/>
      <c r="AI54" s="374"/>
      <c r="AJ54" s="373"/>
      <c r="AK54" s="373"/>
      <c r="AL54" s="373"/>
      <c r="AM54" s="373"/>
      <c r="AN54" s="374"/>
      <c r="AO54" s="373"/>
      <c r="AP54" s="373"/>
      <c r="AQ54" s="373"/>
      <c r="AR54" s="373"/>
      <c r="AS54" s="374"/>
      <c r="AT54" s="373"/>
      <c r="AU54" s="373"/>
      <c r="AV54" s="373"/>
      <c r="AW54" s="373"/>
      <c r="AX54" s="374"/>
      <c r="AY54" s="373"/>
      <c r="AZ54" s="373"/>
      <c r="BA54" s="373"/>
      <c r="BB54" s="373"/>
      <c r="BC54" s="374"/>
      <c r="BD54" s="373"/>
      <c r="BE54" s="373"/>
      <c r="BF54" s="373"/>
      <c r="BG54" s="373"/>
      <c r="BH54" s="374"/>
      <c r="BI54" s="373"/>
      <c r="BJ54" s="373"/>
      <c r="BK54" s="373"/>
      <c r="BL54" s="373"/>
      <c r="BM54" s="374"/>
      <c r="BN54" s="373"/>
      <c r="BO54" s="373"/>
      <c r="BP54" s="373"/>
      <c r="BQ54" s="373"/>
      <c r="BR54" s="374"/>
      <c r="BS54" s="373"/>
      <c r="BT54" s="373"/>
      <c r="BU54" s="373"/>
      <c r="BV54" s="373"/>
      <c r="BW54" s="9"/>
      <c r="BX54" s="10"/>
      <c r="BY54" s="10"/>
    </row>
    <row r="55" spans="4:77" hidden="1" x14ac:dyDescent="0.2">
      <c r="D55" s="9" t="s">
        <v>363</v>
      </c>
      <c r="E55" s="156"/>
      <c r="G55" s="373">
        <f>SUM(G56:G58)</f>
        <v>0</v>
      </c>
      <c r="H55" s="373"/>
      <c r="I55" s="373"/>
      <c r="J55" s="374"/>
      <c r="K55" s="373"/>
      <c r="L55" s="373">
        <f>SUM(L56:L58)</f>
        <v>0</v>
      </c>
      <c r="M55" s="373"/>
      <c r="N55" s="373"/>
      <c r="O55" s="374"/>
      <c r="Q55" s="373">
        <f>SUM(Q56:Q58)</f>
        <v>0</v>
      </c>
      <c r="R55" s="373"/>
      <c r="S55" s="373"/>
      <c r="T55" s="374"/>
      <c r="V55" s="373">
        <f>SUM(V56:V58)</f>
        <v>0</v>
      </c>
      <c r="W55" s="373"/>
      <c r="X55" s="373"/>
      <c r="Y55" s="374"/>
      <c r="AA55" s="373">
        <f>SUM(AA56:AA58)</f>
        <v>0</v>
      </c>
      <c r="AB55" s="373"/>
      <c r="AC55" s="373"/>
      <c r="AD55" s="374"/>
      <c r="AF55" s="373">
        <f>SUM(AF56:AF58)</f>
        <v>0</v>
      </c>
      <c r="AG55" s="373"/>
      <c r="AH55" s="373"/>
      <c r="AI55" s="374"/>
      <c r="AK55" s="373">
        <f>SUM(AK56:AK58)</f>
        <v>0</v>
      </c>
      <c r="AL55" s="373"/>
      <c r="AM55" s="373"/>
      <c r="AN55" s="374"/>
      <c r="AP55" s="373">
        <f>SUM(AP56:AP58)</f>
        <v>0</v>
      </c>
      <c r="AQ55" s="373"/>
      <c r="AR55" s="373"/>
      <c r="AS55" s="374"/>
      <c r="AU55" s="373">
        <f>SUM(AU56:AU58)</f>
        <v>0</v>
      </c>
      <c r="AV55" s="373"/>
      <c r="AW55" s="373"/>
      <c r="AX55" s="374"/>
      <c r="AZ55" s="373">
        <f>SUM(AZ56:AZ58)</f>
        <v>0</v>
      </c>
      <c r="BA55" s="373"/>
      <c r="BB55" s="373"/>
      <c r="BC55" s="374"/>
      <c r="BE55" s="373">
        <f>SUM(BE56:BE58)</f>
        <v>0</v>
      </c>
      <c r="BF55" s="373"/>
      <c r="BG55" s="373"/>
      <c r="BH55" s="374"/>
      <c r="BJ55" s="373">
        <f>SUM(BJ56:BJ58)</f>
        <v>0</v>
      </c>
      <c r="BK55" s="373"/>
      <c r="BL55" s="373"/>
      <c r="BM55" s="374"/>
      <c r="BO55" s="373">
        <f>SUM(BO56:BO58)</f>
        <v>0</v>
      </c>
      <c r="BP55" s="373"/>
      <c r="BQ55" s="373"/>
      <c r="BR55" s="374"/>
      <c r="BS55" s="385"/>
      <c r="BT55" s="385">
        <f>SUM(BT56:BT58)</f>
        <v>0</v>
      </c>
      <c r="BU55" s="373"/>
      <c r="BV55" s="373"/>
      <c r="BW55" s="9"/>
      <c r="BX55" s="10"/>
      <c r="BY55" s="10"/>
    </row>
    <row r="56" spans="4:77" hidden="1" x14ac:dyDescent="0.2">
      <c r="D56" s="9" t="s">
        <v>343</v>
      </c>
      <c r="E56" s="156"/>
      <c r="F56" s="309"/>
      <c r="G56" s="371">
        <v>0</v>
      </c>
      <c r="H56" s="372"/>
      <c r="I56" s="373"/>
      <c r="J56" s="374"/>
      <c r="K56" s="375"/>
      <c r="L56" s="371">
        <v>0</v>
      </c>
      <c r="M56" s="372"/>
      <c r="N56" s="373"/>
      <c r="O56" s="374"/>
      <c r="P56" s="309"/>
      <c r="Q56" s="371">
        <v>0</v>
      </c>
      <c r="R56" s="372"/>
      <c r="S56" s="373"/>
      <c r="T56" s="374"/>
      <c r="U56" s="309"/>
      <c r="V56" s="371">
        <v>0</v>
      </c>
      <c r="W56" s="372"/>
      <c r="X56" s="373"/>
      <c r="Y56" s="374"/>
      <c r="Z56" s="309"/>
      <c r="AA56" s="371">
        <v>0</v>
      </c>
      <c r="AB56" s="372"/>
      <c r="AC56" s="373"/>
      <c r="AD56" s="374"/>
      <c r="AE56" s="309"/>
      <c r="AF56" s="371">
        <v>0</v>
      </c>
      <c r="AG56" s="372"/>
      <c r="AH56" s="373"/>
      <c r="AI56" s="374"/>
      <c r="AJ56" s="309"/>
      <c r="AK56" s="371">
        <v>0</v>
      </c>
      <c r="AL56" s="372"/>
      <c r="AM56" s="373"/>
      <c r="AN56" s="374"/>
      <c r="AO56" s="309"/>
      <c r="AP56" s="371">
        <v>0</v>
      </c>
      <c r="AQ56" s="372"/>
      <c r="AR56" s="373"/>
      <c r="AS56" s="374"/>
      <c r="AT56" s="309"/>
      <c r="AU56" s="371">
        <v>0</v>
      </c>
      <c r="AV56" s="372"/>
      <c r="AW56" s="373"/>
      <c r="AX56" s="374"/>
      <c r="AY56" s="309"/>
      <c r="AZ56" s="371">
        <v>0</v>
      </c>
      <c r="BA56" s="372"/>
      <c r="BB56" s="373"/>
      <c r="BC56" s="374"/>
      <c r="BD56" s="309"/>
      <c r="BE56" s="371">
        <v>0</v>
      </c>
      <c r="BF56" s="372"/>
      <c r="BG56" s="373"/>
      <c r="BH56" s="374"/>
      <c r="BI56" s="309"/>
      <c r="BJ56" s="371">
        <v>0</v>
      </c>
      <c r="BK56" s="372"/>
      <c r="BL56" s="373"/>
      <c r="BM56" s="374"/>
      <c r="BN56" s="309"/>
      <c r="BO56" s="371">
        <v>0</v>
      </c>
      <c r="BP56" s="372"/>
      <c r="BQ56" s="373"/>
      <c r="BR56" s="374"/>
      <c r="BS56" s="374"/>
      <c r="BT56" s="373">
        <f>SUM(L56:BO56)</f>
        <v>0</v>
      </c>
      <c r="BU56" s="372"/>
      <c r="BV56" s="373"/>
      <c r="BW56" s="9"/>
      <c r="BX56" s="10"/>
      <c r="BY56" s="10"/>
    </row>
    <row r="57" spans="4:77" hidden="1" x14ac:dyDescent="0.2">
      <c r="D57" s="9" t="s">
        <v>425</v>
      </c>
      <c r="E57" s="156"/>
      <c r="F57" s="156"/>
      <c r="G57" s="373">
        <v>0</v>
      </c>
      <c r="H57" s="377"/>
      <c r="I57" s="373"/>
      <c r="J57" s="374"/>
      <c r="K57" s="374"/>
      <c r="L57" s="373">
        <v>0</v>
      </c>
      <c r="M57" s="377"/>
      <c r="N57" s="373"/>
      <c r="O57" s="374"/>
      <c r="P57" s="156"/>
      <c r="Q57" s="373">
        <v>0</v>
      </c>
      <c r="R57" s="377"/>
      <c r="S57" s="373"/>
      <c r="T57" s="374"/>
      <c r="U57" s="156"/>
      <c r="V57" s="373">
        <v>0</v>
      </c>
      <c r="W57" s="377"/>
      <c r="X57" s="373"/>
      <c r="Y57" s="374"/>
      <c r="Z57" s="156"/>
      <c r="AA57" s="373">
        <v>0</v>
      </c>
      <c r="AB57" s="377"/>
      <c r="AC57" s="373"/>
      <c r="AD57" s="374"/>
      <c r="AE57" s="156"/>
      <c r="AF57" s="373">
        <v>0</v>
      </c>
      <c r="AG57" s="377"/>
      <c r="AH57" s="373"/>
      <c r="AI57" s="374"/>
      <c r="AJ57" s="156"/>
      <c r="AK57" s="373">
        <v>0</v>
      </c>
      <c r="AL57" s="377"/>
      <c r="AM57" s="373"/>
      <c r="AN57" s="374"/>
      <c r="AO57" s="156"/>
      <c r="AP57" s="373">
        <v>0</v>
      </c>
      <c r="AQ57" s="377"/>
      <c r="AR57" s="373"/>
      <c r="AS57" s="374"/>
      <c r="AT57" s="156"/>
      <c r="AU57" s="373">
        <v>0</v>
      </c>
      <c r="AV57" s="377"/>
      <c r="AW57" s="373"/>
      <c r="AX57" s="374"/>
      <c r="AY57" s="156"/>
      <c r="AZ57" s="373">
        <v>0</v>
      </c>
      <c r="BA57" s="377"/>
      <c r="BB57" s="373"/>
      <c r="BC57" s="374"/>
      <c r="BD57" s="156"/>
      <c r="BE57" s="373">
        <v>0</v>
      </c>
      <c r="BF57" s="377"/>
      <c r="BG57" s="373"/>
      <c r="BH57" s="374"/>
      <c r="BI57" s="156"/>
      <c r="BJ57" s="373">
        <v>0</v>
      </c>
      <c r="BK57" s="377"/>
      <c r="BL57" s="373"/>
      <c r="BM57" s="374"/>
      <c r="BN57" s="156"/>
      <c r="BO57" s="373">
        <v>0</v>
      </c>
      <c r="BP57" s="377"/>
      <c r="BQ57" s="373"/>
      <c r="BR57" s="374"/>
      <c r="BS57" s="374"/>
      <c r="BT57" s="373">
        <f>SUM(L57:BO57)</f>
        <v>0</v>
      </c>
      <c r="BU57" s="377"/>
      <c r="BV57" s="373"/>
      <c r="BW57" s="9"/>
      <c r="BX57" s="10"/>
      <c r="BY57" s="10"/>
    </row>
    <row r="58" spans="4:77" hidden="1" x14ac:dyDescent="0.2">
      <c r="D58" s="9" t="s">
        <v>426</v>
      </c>
      <c r="E58" s="156"/>
      <c r="F58" s="320"/>
      <c r="G58" s="385">
        <v>0</v>
      </c>
      <c r="H58" s="386"/>
      <c r="I58" s="373"/>
      <c r="J58" s="374"/>
      <c r="K58" s="387"/>
      <c r="L58" s="385">
        <v>0</v>
      </c>
      <c r="M58" s="386"/>
      <c r="N58" s="373"/>
      <c r="O58" s="374"/>
      <c r="P58" s="320"/>
      <c r="Q58" s="385">
        <v>0</v>
      </c>
      <c r="R58" s="386"/>
      <c r="S58" s="373"/>
      <c r="T58" s="374"/>
      <c r="U58" s="320"/>
      <c r="V58" s="385">
        <v>0</v>
      </c>
      <c r="W58" s="386"/>
      <c r="X58" s="373"/>
      <c r="Y58" s="374"/>
      <c r="Z58" s="320"/>
      <c r="AA58" s="385">
        <v>0</v>
      </c>
      <c r="AB58" s="386"/>
      <c r="AC58" s="373"/>
      <c r="AD58" s="374"/>
      <c r="AE58" s="320"/>
      <c r="AF58" s="385">
        <v>0</v>
      </c>
      <c r="AG58" s="386"/>
      <c r="AH58" s="373"/>
      <c r="AI58" s="374"/>
      <c r="AJ58" s="320"/>
      <c r="AK58" s="385">
        <v>0</v>
      </c>
      <c r="AL58" s="386"/>
      <c r="AM58" s="373"/>
      <c r="AN58" s="374"/>
      <c r="AO58" s="320"/>
      <c r="AP58" s="385">
        <v>0</v>
      </c>
      <c r="AQ58" s="386"/>
      <c r="AR58" s="373"/>
      <c r="AS58" s="374"/>
      <c r="AT58" s="320"/>
      <c r="AU58" s="385">
        <v>0</v>
      </c>
      <c r="AV58" s="386"/>
      <c r="AW58" s="373"/>
      <c r="AX58" s="374"/>
      <c r="AY58" s="320"/>
      <c r="AZ58" s="385">
        <v>0</v>
      </c>
      <c r="BA58" s="386"/>
      <c r="BB58" s="373"/>
      <c r="BC58" s="374"/>
      <c r="BD58" s="320"/>
      <c r="BE58" s="385">
        <v>0</v>
      </c>
      <c r="BF58" s="386"/>
      <c r="BG58" s="373"/>
      <c r="BH58" s="374"/>
      <c r="BI58" s="320"/>
      <c r="BJ58" s="385">
        <v>0</v>
      </c>
      <c r="BK58" s="386"/>
      <c r="BL58" s="373"/>
      <c r="BM58" s="374"/>
      <c r="BN58" s="320"/>
      <c r="BO58" s="385">
        <v>0</v>
      </c>
      <c r="BP58" s="386"/>
      <c r="BQ58" s="373"/>
      <c r="BR58" s="374"/>
      <c r="BS58" s="387"/>
      <c r="BT58" s="385">
        <f>SUM(L58:BO58)</f>
        <v>0</v>
      </c>
      <c r="BU58" s="386"/>
      <c r="BV58" s="373"/>
      <c r="BW58" s="9"/>
      <c r="BX58" s="10"/>
      <c r="BY58" s="10"/>
    </row>
    <row r="59" spans="4:77" x14ac:dyDescent="0.2">
      <c r="D59" s="9"/>
      <c r="E59" s="156"/>
      <c r="G59" s="373"/>
      <c r="H59" s="373"/>
      <c r="I59" s="373"/>
      <c r="J59" s="374"/>
      <c r="K59" s="373"/>
      <c r="L59" s="373"/>
      <c r="M59" s="373"/>
      <c r="N59" s="373"/>
      <c r="O59" s="374"/>
      <c r="P59" s="373"/>
      <c r="Q59" s="373"/>
      <c r="R59" s="373"/>
      <c r="S59" s="373"/>
      <c r="T59" s="374"/>
      <c r="U59" s="373"/>
      <c r="V59" s="373"/>
      <c r="W59" s="373"/>
      <c r="X59" s="373"/>
      <c r="Y59" s="374"/>
      <c r="Z59" s="373"/>
      <c r="AA59" s="373"/>
      <c r="AB59" s="373"/>
      <c r="AC59" s="373"/>
      <c r="AD59" s="374"/>
      <c r="AE59" s="373"/>
      <c r="AF59" s="373"/>
      <c r="AG59" s="373"/>
      <c r="AH59" s="373"/>
      <c r="AI59" s="374"/>
      <c r="AJ59" s="373"/>
      <c r="AK59" s="373"/>
      <c r="AL59" s="373"/>
      <c r="AM59" s="373"/>
      <c r="AN59" s="374"/>
      <c r="AO59" s="373"/>
      <c r="AP59" s="373"/>
      <c r="AQ59" s="373"/>
      <c r="AR59" s="373"/>
      <c r="AS59" s="374"/>
      <c r="AT59" s="373"/>
      <c r="AU59" s="373"/>
      <c r="AV59" s="373"/>
      <c r="AW59" s="373"/>
      <c r="AX59" s="374"/>
      <c r="AY59" s="373"/>
      <c r="AZ59" s="373"/>
      <c r="BA59" s="373"/>
      <c r="BB59" s="373"/>
      <c r="BC59" s="374"/>
      <c r="BD59" s="373"/>
      <c r="BE59" s="373"/>
      <c r="BF59" s="373"/>
      <c r="BG59" s="373"/>
      <c r="BH59" s="374"/>
      <c r="BI59" s="373"/>
      <c r="BJ59" s="373"/>
      <c r="BK59" s="373"/>
      <c r="BL59" s="373"/>
      <c r="BM59" s="374"/>
      <c r="BN59" s="373"/>
      <c r="BO59" s="373"/>
      <c r="BP59" s="373"/>
      <c r="BQ59" s="373"/>
      <c r="BR59" s="374"/>
      <c r="BS59" s="373"/>
      <c r="BT59" s="373"/>
      <c r="BU59" s="373"/>
      <c r="BV59" s="373"/>
      <c r="BW59" s="9"/>
      <c r="BX59" s="10"/>
      <c r="BY59" s="10"/>
    </row>
    <row r="60" spans="4:77" ht="12.75" hidden="1" customHeight="1" x14ac:dyDescent="0.2">
      <c r="D60" s="9" t="s">
        <v>360</v>
      </c>
      <c r="E60" s="156"/>
      <c r="G60" s="373">
        <f>SUM(G61:G63)</f>
        <v>0</v>
      </c>
      <c r="H60" s="373"/>
      <c r="I60" s="373"/>
      <c r="J60" s="374"/>
      <c r="K60" s="373"/>
      <c r="L60" s="373">
        <f>SUM(L61:L63)</f>
        <v>0</v>
      </c>
      <c r="M60" s="373"/>
      <c r="N60" s="373"/>
      <c r="O60" s="374"/>
      <c r="Q60" s="373">
        <f>SUM(Q61:Q63)</f>
        <v>0</v>
      </c>
      <c r="R60" s="373"/>
      <c r="S60" s="373"/>
      <c r="T60" s="374"/>
      <c r="V60" s="373">
        <f>SUM(V61:V63)</f>
        <v>0</v>
      </c>
      <c r="W60" s="373"/>
      <c r="X60" s="373"/>
      <c r="Y60" s="374"/>
      <c r="AA60" s="373">
        <f>SUM(AA61:AA63)</f>
        <v>0</v>
      </c>
      <c r="AB60" s="373"/>
      <c r="AC60" s="373"/>
      <c r="AD60" s="374"/>
      <c r="AF60" s="373">
        <f>SUM(AF61:AF63)</f>
        <v>0</v>
      </c>
      <c r="AG60" s="373"/>
      <c r="AH60" s="373"/>
      <c r="AI60" s="374"/>
      <c r="AK60" s="373">
        <f>SUM(AK61:AK63)</f>
        <v>0</v>
      </c>
      <c r="AL60" s="373"/>
      <c r="AM60" s="373"/>
      <c r="AN60" s="374"/>
      <c r="AP60" s="373">
        <f>SUM(AP61:AP63)</f>
        <v>0</v>
      </c>
      <c r="AQ60" s="373"/>
      <c r="AR60" s="373"/>
      <c r="AS60" s="374"/>
      <c r="AU60" s="373">
        <f>SUM(AU61:AU63)</f>
        <v>0</v>
      </c>
      <c r="AV60" s="373"/>
      <c r="AW60" s="373"/>
      <c r="AX60" s="374"/>
      <c r="AZ60" s="373">
        <f>SUM(AZ61:AZ63)</f>
        <v>0</v>
      </c>
      <c r="BA60" s="373"/>
      <c r="BB60" s="373"/>
      <c r="BC60" s="374"/>
      <c r="BE60" s="373">
        <f>SUM(BE61:BE63)</f>
        <v>0</v>
      </c>
      <c r="BF60" s="373"/>
      <c r="BG60" s="373"/>
      <c r="BH60" s="374"/>
      <c r="BJ60" s="373">
        <f>SUM(BJ61:BJ63)</f>
        <v>0</v>
      </c>
      <c r="BK60" s="373"/>
      <c r="BL60" s="373"/>
      <c r="BM60" s="374"/>
      <c r="BO60" s="373">
        <f>SUM(BO61:BO63)</f>
        <v>0</v>
      </c>
      <c r="BP60" s="373"/>
      <c r="BQ60" s="373"/>
      <c r="BR60" s="374"/>
      <c r="BS60" s="385"/>
      <c r="BT60" s="385">
        <f>SUM(BT61:BT63)</f>
        <v>0</v>
      </c>
      <c r="BU60" s="373"/>
      <c r="BV60" s="373"/>
      <c r="BW60" s="9"/>
      <c r="BX60" s="10"/>
      <c r="BY60" s="10"/>
    </row>
    <row r="61" spans="4:77" ht="12.75" hidden="1" customHeight="1" x14ac:dyDescent="0.2">
      <c r="D61" s="9" t="s">
        <v>343</v>
      </c>
      <c r="E61" s="156"/>
      <c r="F61" s="309"/>
      <c r="G61" s="371">
        <v>0</v>
      </c>
      <c r="H61" s="372"/>
      <c r="I61" s="373"/>
      <c r="J61" s="374"/>
      <c r="K61" s="375"/>
      <c r="L61" s="371">
        <v>0</v>
      </c>
      <c r="M61" s="372"/>
      <c r="N61" s="373"/>
      <c r="O61" s="374"/>
      <c r="P61" s="309"/>
      <c r="Q61" s="371">
        <v>0</v>
      </c>
      <c r="R61" s="372"/>
      <c r="S61" s="373"/>
      <c r="T61" s="374"/>
      <c r="U61" s="309"/>
      <c r="V61" s="371">
        <v>0</v>
      </c>
      <c r="W61" s="372"/>
      <c r="X61" s="373"/>
      <c r="Y61" s="374"/>
      <c r="Z61" s="309"/>
      <c r="AA61" s="371">
        <v>0</v>
      </c>
      <c r="AB61" s="372"/>
      <c r="AC61" s="373"/>
      <c r="AD61" s="374"/>
      <c r="AE61" s="309"/>
      <c r="AF61" s="371">
        <v>0</v>
      </c>
      <c r="AG61" s="372"/>
      <c r="AH61" s="373"/>
      <c r="AI61" s="374"/>
      <c r="AJ61" s="309"/>
      <c r="AK61" s="371">
        <v>0</v>
      </c>
      <c r="AL61" s="372"/>
      <c r="AM61" s="373"/>
      <c r="AN61" s="374"/>
      <c r="AO61" s="309"/>
      <c r="AP61" s="371">
        <v>0</v>
      </c>
      <c r="AQ61" s="372"/>
      <c r="AR61" s="373"/>
      <c r="AS61" s="374"/>
      <c r="AT61" s="309"/>
      <c r="AU61" s="371">
        <v>0</v>
      </c>
      <c r="AV61" s="372"/>
      <c r="AW61" s="373"/>
      <c r="AX61" s="374"/>
      <c r="AY61" s="309"/>
      <c r="AZ61" s="371">
        <v>0</v>
      </c>
      <c r="BA61" s="372"/>
      <c r="BB61" s="373"/>
      <c r="BC61" s="374"/>
      <c r="BD61" s="309"/>
      <c r="BE61" s="371">
        <v>0</v>
      </c>
      <c r="BF61" s="372"/>
      <c r="BG61" s="373"/>
      <c r="BH61" s="374"/>
      <c r="BI61" s="309"/>
      <c r="BJ61" s="371">
        <v>0</v>
      </c>
      <c r="BK61" s="372"/>
      <c r="BL61" s="373"/>
      <c r="BM61" s="374"/>
      <c r="BN61" s="309"/>
      <c r="BO61" s="371">
        <v>0</v>
      </c>
      <c r="BP61" s="372"/>
      <c r="BQ61" s="373"/>
      <c r="BR61" s="374"/>
      <c r="BS61" s="374"/>
      <c r="BT61" s="373">
        <f>SUM(L61:BO61)</f>
        <v>0</v>
      </c>
      <c r="BU61" s="372"/>
      <c r="BV61" s="373"/>
      <c r="BW61" s="9"/>
      <c r="BX61" s="10"/>
      <c r="BY61" s="10"/>
    </row>
    <row r="62" spans="4:77" ht="12.75" hidden="1" customHeight="1" x14ac:dyDescent="0.2">
      <c r="D62" s="9" t="s">
        <v>425</v>
      </c>
      <c r="E62" s="156"/>
      <c r="F62" s="156"/>
      <c r="G62" s="373">
        <v>0</v>
      </c>
      <c r="H62" s="377"/>
      <c r="I62" s="373"/>
      <c r="J62" s="374"/>
      <c r="K62" s="374"/>
      <c r="L62" s="373">
        <v>0</v>
      </c>
      <c r="M62" s="377"/>
      <c r="N62" s="373"/>
      <c r="O62" s="374"/>
      <c r="P62" s="156"/>
      <c r="Q62" s="373">
        <v>0</v>
      </c>
      <c r="R62" s="377"/>
      <c r="S62" s="373"/>
      <c r="T62" s="374"/>
      <c r="U62" s="156"/>
      <c r="V62" s="373">
        <v>0</v>
      </c>
      <c r="W62" s="377"/>
      <c r="X62" s="373"/>
      <c r="Y62" s="374"/>
      <c r="Z62" s="156"/>
      <c r="AA62" s="373">
        <v>0</v>
      </c>
      <c r="AB62" s="377"/>
      <c r="AC62" s="373"/>
      <c r="AD62" s="374"/>
      <c r="AE62" s="156"/>
      <c r="AF62" s="373">
        <v>0</v>
      </c>
      <c r="AG62" s="377"/>
      <c r="AH62" s="373"/>
      <c r="AI62" s="374"/>
      <c r="AJ62" s="156"/>
      <c r="AK62" s="373">
        <v>0</v>
      </c>
      <c r="AL62" s="377"/>
      <c r="AM62" s="373"/>
      <c r="AN62" s="374"/>
      <c r="AO62" s="156"/>
      <c r="AP62" s="373">
        <v>0</v>
      </c>
      <c r="AQ62" s="377"/>
      <c r="AR62" s="373"/>
      <c r="AS62" s="374"/>
      <c r="AT62" s="156"/>
      <c r="AU62" s="373">
        <v>0</v>
      </c>
      <c r="AV62" s="377"/>
      <c r="AW62" s="373"/>
      <c r="AX62" s="374"/>
      <c r="AY62" s="156"/>
      <c r="AZ62" s="373">
        <v>0</v>
      </c>
      <c r="BA62" s="377"/>
      <c r="BB62" s="373"/>
      <c r="BC62" s="374"/>
      <c r="BD62" s="156"/>
      <c r="BE62" s="373">
        <v>0</v>
      </c>
      <c r="BF62" s="377"/>
      <c r="BG62" s="373"/>
      <c r="BH62" s="374"/>
      <c r="BI62" s="156"/>
      <c r="BJ62" s="373">
        <v>0</v>
      </c>
      <c r="BK62" s="377"/>
      <c r="BL62" s="373"/>
      <c r="BM62" s="374"/>
      <c r="BN62" s="156"/>
      <c r="BO62" s="373">
        <v>0</v>
      </c>
      <c r="BP62" s="377"/>
      <c r="BQ62" s="373"/>
      <c r="BR62" s="374"/>
      <c r="BS62" s="374"/>
      <c r="BT62" s="373">
        <f>SUM(L62:BO62)</f>
        <v>0</v>
      </c>
      <c r="BU62" s="377"/>
      <c r="BV62" s="373"/>
      <c r="BW62" s="9"/>
      <c r="BX62" s="10"/>
      <c r="BY62" s="10"/>
    </row>
    <row r="63" spans="4:77" ht="12.75" hidden="1" customHeight="1" x14ac:dyDescent="0.2">
      <c r="D63" s="9" t="s">
        <v>426</v>
      </c>
      <c r="E63" s="156"/>
      <c r="F63" s="320"/>
      <c r="G63" s="385">
        <v>0</v>
      </c>
      <c r="H63" s="386"/>
      <c r="I63" s="373"/>
      <c r="J63" s="374"/>
      <c r="K63" s="387"/>
      <c r="L63" s="385">
        <v>0</v>
      </c>
      <c r="M63" s="386"/>
      <c r="N63" s="373"/>
      <c r="O63" s="374"/>
      <c r="P63" s="320"/>
      <c r="Q63" s="385">
        <v>0</v>
      </c>
      <c r="R63" s="386"/>
      <c r="S63" s="373"/>
      <c r="T63" s="374"/>
      <c r="U63" s="320"/>
      <c r="V63" s="385">
        <v>0</v>
      </c>
      <c r="W63" s="386"/>
      <c r="X63" s="373"/>
      <c r="Y63" s="374"/>
      <c r="Z63" s="320"/>
      <c r="AA63" s="385">
        <v>0</v>
      </c>
      <c r="AB63" s="386"/>
      <c r="AC63" s="373"/>
      <c r="AD63" s="374"/>
      <c r="AE63" s="320"/>
      <c r="AF63" s="385">
        <v>0</v>
      </c>
      <c r="AG63" s="386"/>
      <c r="AH63" s="373"/>
      <c r="AI63" s="374"/>
      <c r="AJ63" s="320"/>
      <c r="AK63" s="385">
        <v>0</v>
      </c>
      <c r="AL63" s="386"/>
      <c r="AM63" s="373"/>
      <c r="AN63" s="374"/>
      <c r="AO63" s="320"/>
      <c r="AP63" s="385">
        <v>0</v>
      </c>
      <c r="AQ63" s="386"/>
      <c r="AR63" s="373"/>
      <c r="AS63" s="374"/>
      <c r="AT63" s="320"/>
      <c r="AU63" s="385">
        <v>0</v>
      </c>
      <c r="AV63" s="386"/>
      <c r="AW63" s="373"/>
      <c r="AX63" s="374"/>
      <c r="AY63" s="320"/>
      <c r="AZ63" s="385">
        <v>0</v>
      </c>
      <c r="BA63" s="386"/>
      <c r="BB63" s="373"/>
      <c r="BC63" s="374"/>
      <c r="BD63" s="320"/>
      <c r="BE63" s="385">
        <v>0</v>
      </c>
      <c r="BF63" s="386"/>
      <c r="BG63" s="373"/>
      <c r="BH63" s="374"/>
      <c r="BI63" s="320"/>
      <c r="BJ63" s="385">
        <v>0</v>
      </c>
      <c r="BK63" s="386"/>
      <c r="BL63" s="373"/>
      <c r="BM63" s="374"/>
      <c r="BN63" s="320"/>
      <c r="BO63" s="385">
        <v>0</v>
      </c>
      <c r="BP63" s="386"/>
      <c r="BQ63" s="373"/>
      <c r="BR63" s="374"/>
      <c r="BS63" s="387"/>
      <c r="BT63" s="385">
        <f>SUM(L63:BO63)</f>
        <v>0</v>
      </c>
      <c r="BU63" s="386"/>
      <c r="BV63" s="373"/>
      <c r="BW63" s="9"/>
      <c r="BX63" s="10"/>
      <c r="BY63" s="10"/>
    </row>
    <row r="64" spans="4:77" ht="12.75" hidden="1" customHeight="1" x14ac:dyDescent="0.2">
      <c r="D64" s="9"/>
      <c r="E64" s="156"/>
      <c r="G64" s="373"/>
      <c r="H64" s="373"/>
      <c r="I64" s="373"/>
      <c r="J64" s="374"/>
      <c r="K64" s="373"/>
      <c r="L64" s="373"/>
      <c r="M64" s="373"/>
      <c r="N64" s="373"/>
      <c r="O64" s="374"/>
      <c r="P64" s="373"/>
      <c r="Q64" s="373"/>
      <c r="R64" s="373"/>
      <c r="S64" s="373"/>
      <c r="T64" s="374"/>
      <c r="U64" s="373"/>
      <c r="V64" s="373"/>
      <c r="W64" s="373"/>
      <c r="X64" s="373"/>
      <c r="Y64" s="374"/>
      <c r="Z64" s="373"/>
      <c r="AA64" s="373"/>
      <c r="AB64" s="373"/>
      <c r="AC64" s="373"/>
      <c r="AD64" s="374"/>
      <c r="AE64" s="373"/>
      <c r="AF64" s="373"/>
      <c r="AG64" s="373"/>
      <c r="AH64" s="373"/>
      <c r="AI64" s="374"/>
      <c r="AJ64" s="373"/>
      <c r="AK64" s="373"/>
      <c r="AL64" s="373"/>
      <c r="AM64" s="373"/>
      <c r="AN64" s="374"/>
      <c r="AO64" s="373"/>
      <c r="AP64" s="373"/>
      <c r="AQ64" s="373"/>
      <c r="AR64" s="373"/>
      <c r="AS64" s="374"/>
      <c r="AT64" s="373"/>
      <c r="AU64" s="373"/>
      <c r="AV64" s="373"/>
      <c r="AW64" s="373"/>
      <c r="AX64" s="374"/>
      <c r="AY64" s="373"/>
      <c r="AZ64" s="373"/>
      <c r="BA64" s="373"/>
      <c r="BB64" s="373"/>
      <c r="BC64" s="374"/>
      <c r="BD64" s="373"/>
      <c r="BE64" s="373"/>
      <c r="BF64" s="373"/>
      <c r="BG64" s="373"/>
      <c r="BH64" s="374"/>
      <c r="BI64" s="373"/>
      <c r="BJ64" s="373"/>
      <c r="BK64" s="373"/>
      <c r="BL64" s="373"/>
      <c r="BM64" s="374"/>
      <c r="BN64" s="373"/>
      <c r="BO64" s="373"/>
      <c r="BP64" s="373"/>
      <c r="BQ64" s="373"/>
      <c r="BR64" s="374"/>
      <c r="BS64" s="373"/>
      <c r="BT64" s="373"/>
      <c r="BU64" s="373"/>
      <c r="BV64" s="373"/>
      <c r="BW64" s="9"/>
      <c r="BX64" s="10"/>
      <c r="BY64" s="10"/>
    </row>
    <row r="65" spans="4:77" s="10" customFormat="1" x14ac:dyDescent="0.2">
      <c r="D65" s="79" t="s">
        <v>430</v>
      </c>
      <c r="E65" s="145"/>
      <c r="G65" s="368">
        <f>SUM(G66:G66)</f>
        <v>0</v>
      </c>
      <c r="H65" s="368"/>
      <c r="I65" s="368"/>
      <c r="J65" s="369"/>
      <c r="K65" s="368"/>
      <c r="L65" s="368">
        <f>SUM(L66:L66)</f>
        <v>487336</v>
      </c>
      <c r="M65" s="368"/>
      <c r="N65" s="368"/>
      <c r="O65" s="369"/>
      <c r="P65" s="368"/>
      <c r="Q65" s="368">
        <f>SUM(Q66:Q66)</f>
        <v>29682</v>
      </c>
      <c r="R65" s="368"/>
      <c r="S65" s="368"/>
      <c r="T65" s="369"/>
      <c r="U65" s="368"/>
      <c r="V65" s="368">
        <f>SUM(V66:V66)</f>
        <v>28489</v>
      </c>
      <c r="W65" s="368"/>
      <c r="X65" s="368"/>
      <c r="Y65" s="369"/>
      <c r="Z65" s="368"/>
      <c r="AA65" s="368">
        <f>SUM(AA66:AA66)</f>
        <v>0</v>
      </c>
      <c r="AB65" s="368"/>
      <c r="AC65" s="368"/>
      <c r="AD65" s="369"/>
      <c r="AE65" s="368"/>
      <c r="AF65" s="368">
        <f>SUM(AF66:AF66)</f>
        <v>41191</v>
      </c>
      <c r="AG65" s="368"/>
      <c r="AH65" s="368"/>
      <c r="AI65" s="369"/>
      <c r="AJ65" s="368"/>
      <c r="AK65" s="368">
        <f>SUM(AK66:AK66)</f>
        <v>18552</v>
      </c>
      <c r="AL65" s="368"/>
      <c r="AM65" s="368"/>
      <c r="AN65" s="369"/>
      <c r="AO65" s="368"/>
      <c r="AP65" s="368">
        <f>SUM(AP66:AP66)</f>
        <v>0</v>
      </c>
      <c r="AQ65" s="368"/>
      <c r="AR65" s="368"/>
      <c r="AS65" s="369"/>
      <c r="AT65" s="368"/>
      <c r="AU65" s="368">
        <f>SUM(AU66:AU66)</f>
        <v>0</v>
      </c>
      <c r="AV65" s="368"/>
      <c r="AW65" s="368"/>
      <c r="AX65" s="369"/>
      <c r="AY65" s="368"/>
      <c r="AZ65" s="368">
        <f>SUM(AZ66:AZ66)</f>
        <v>290338</v>
      </c>
      <c r="BA65" s="368"/>
      <c r="BB65" s="368"/>
      <c r="BC65" s="369"/>
      <c r="BD65" s="368"/>
      <c r="BE65" s="368">
        <f>SUM(BE66:BE66)</f>
        <v>132680</v>
      </c>
      <c r="BF65" s="368"/>
      <c r="BG65" s="368"/>
      <c r="BH65" s="369"/>
      <c r="BI65" s="368"/>
      <c r="BJ65" s="368">
        <f>SUM(BJ66:BJ66)</f>
        <v>0</v>
      </c>
      <c r="BK65" s="368"/>
      <c r="BL65" s="368"/>
      <c r="BM65" s="369"/>
      <c r="BN65" s="368"/>
      <c r="BO65" s="368">
        <f>SUM(BO66:BO66)</f>
        <v>0</v>
      </c>
      <c r="BP65" s="368"/>
      <c r="BQ65" s="368"/>
      <c r="BR65" s="369"/>
      <c r="BS65" s="368"/>
      <c r="BT65" s="368">
        <f>SUM(BT66:BT66)</f>
        <v>1028268</v>
      </c>
      <c r="BU65" s="368"/>
      <c r="BV65" s="368"/>
      <c r="BW65" s="79"/>
    </row>
    <row r="66" spans="4:77" x14ac:dyDescent="0.2">
      <c r="D66" s="9" t="s">
        <v>343</v>
      </c>
      <c r="E66" s="156"/>
      <c r="F66" s="378"/>
      <c r="G66" s="379">
        <f>G69+G75+G78+G81+G84+G87+G90+G93+G96+G102+G105+G108+G111+G99+G117+G120+G72+G114</f>
        <v>0</v>
      </c>
      <c r="H66" s="380"/>
      <c r="I66" s="373"/>
      <c r="J66" s="374"/>
      <c r="K66" s="381"/>
      <c r="L66" s="379">
        <f>L69+L75+L78+L81+L84+L87+L90+L93+L96+L102+L105+L108+L111+L99+L117+L120+L72+L114</f>
        <v>487336</v>
      </c>
      <c r="M66" s="380"/>
      <c r="N66" s="373"/>
      <c r="O66" s="374"/>
      <c r="P66" s="381"/>
      <c r="Q66" s="379">
        <f>Q69+Q75+Q78+Q81+Q84+Q87+Q90+Q93+Q96+Q102+Q105+Q108+Q111+Q99+Q117+Q120+Q72+Q114</f>
        <v>29682</v>
      </c>
      <c r="R66" s="380"/>
      <c r="S66" s="373"/>
      <c r="T66" s="374"/>
      <c r="U66" s="381"/>
      <c r="V66" s="379">
        <f>V69+V75+V78+V81+V84+V87+V90+V93+V96+V102+V105+V108+V111+V99+V117+V120+V72+V114</f>
        <v>28489</v>
      </c>
      <c r="W66" s="380"/>
      <c r="X66" s="373"/>
      <c r="Y66" s="374"/>
      <c r="Z66" s="381"/>
      <c r="AA66" s="379">
        <v>0</v>
      </c>
      <c r="AB66" s="380"/>
      <c r="AC66" s="373"/>
      <c r="AD66" s="374"/>
      <c r="AE66" s="381"/>
      <c r="AF66" s="379">
        <f>AF69+AF75+AF78+AF81+AF84+AF87+AF90+AF93+AF96+AF102+AF105+AF108+AF111+AF99+AF117+AF120+AF72+AF114</f>
        <v>41191</v>
      </c>
      <c r="AG66" s="380"/>
      <c r="AH66" s="373"/>
      <c r="AI66" s="374"/>
      <c r="AJ66" s="381"/>
      <c r="AK66" s="379">
        <f>AK69+AK75+AK78+AK81+AK84+AK87+AK90+AK93+AK96+AK102+AK105+AK108+AK111+AK99+AK117+AK120+AK72+AK114</f>
        <v>18552</v>
      </c>
      <c r="AL66" s="380"/>
      <c r="AM66" s="373"/>
      <c r="AN66" s="374"/>
      <c r="AO66" s="381"/>
      <c r="AP66" s="379">
        <f>AP69+AP75+AP78+AP81+AP84+AP87+AP90+AP93+AP96+AP102+AP105+AP108+AP111+AP99+AP117+AP120+AP72+AP114</f>
        <v>0</v>
      </c>
      <c r="AQ66" s="380"/>
      <c r="AR66" s="373"/>
      <c r="AS66" s="374"/>
      <c r="AT66" s="381"/>
      <c r="AU66" s="379">
        <f>AU69+AU75+AU78+AU81+AU84+AU87+AU90+AU93+AU96+AU102+AU105+AU108+AU111+AU99+AU117+AU120+AU72+AU114</f>
        <v>0</v>
      </c>
      <c r="AV66" s="380"/>
      <c r="AW66" s="373"/>
      <c r="AX66" s="374"/>
      <c r="AY66" s="381"/>
      <c r="AZ66" s="379">
        <f>AZ69+AZ75+AZ78+AZ81+AZ84+AZ87+AZ90+AZ93+AZ96+AZ102+AZ105+AZ108+AZ111+AZ99+AZ117+AZ120+AZ72+AZ114</f>
        <v>290338</v>
      </c>
      <c r="BA66" s="380"/>
      <c r="BB66" s="373"/>
      <c r="BC66" s="374"/>
      <c r="BD66" s="381"/>
      <c r="BE66" s="379">
        <f>BE69+BE75+BE78+BE81+BE84+BE87+BE90+BE93+BE96+BE102+BE105+BE108+BE111+BE99+BE117+BE120+BE72+BE114</f>
        <v>132680</v>
      </c>
      <c r="BF66" s="380"/>
      <c r="BG66" s="373"/>
      <c r="BH66" s="374"/>
      <c r="BI66" s="381"/>
      <c r="BJ66" s="379">
        <v>0</v>
      </c>
      <c r="BK66" s="380"/>
      <c r="BL66" s="373"/>
      <c r="BM66" s="374"/>
      <c r="BN66" s="381"/>
      <c r="BO66" s="379">
        <f>BO69+BO75+BO78+BO81+BO84+BO87+BO90+BO93+BO96+BO102+BO105+BO108+BO111+BO99+BO117+BO120+BO72+BO114</f>
        <v>0</v>
      </c>
      <c r="BP66" s="380"/>
      <c r="BQ66" s="373"/>
      <c r="BR66" s="374"/>
      <c r="BS66" s="381"/>
      <c r="BT66" s="379">
        <f>BT69+BT75+BT78+BT81+BT84+BT87+BT90+BT93+BT96+BT102+BT105+BT108+BT111+BT99+BT117+BT120+BT72+BT114</f>
        <v>1028268</v>
      </c>
      <c r="BU66" s="380"/>
      <c r="BV66" s="373"/>
      <c r="BW66" s="9"/>
      <c r="BX66" s="10"/>
      <c r="BY66" s="10"/>
    </row>
    <row r="67" spans="4:77" x14ac:dyDescent="0.2">
      <c r="D67" s="9"/>
      <c r="E67" s="156"/>
      <c r="G67" s="373"/>
      <c r="H67" s="373"/>
      <c r="I67" s="373"/>
      <c r="J67" s="374"/>
      <c r="K67" s="373"/>
      <c r="L67" s="373"/>
      <c r="M67" s="373"/>
      <c r="N67" s="373"/>
      <c r="O67" s="374"/>
      <c r="P67" s="373"/>
      <c r="Q67" s="373"/>
      <c r="R67" s="373"/>
      <c r="S67" s="373"/>
      <c r="T67" s="374"/>
      <c r="U67" s="373"/>
      <c r="V67" s="373"/>
      <c r="W67" s="373"/>
      <c r="X67" s="373"/>
      <c r="Y67" s="374"/>
      <c r="Z67" s="373"/>
      <c r="AA67" s="373"/>
      <c r="AB67" s="373"/>
      <c r="AC67" s="373"/>
      <c r="AD67" s="374"/>
      <c r="AE67" s="373"/>
      <c r="AF67" s="373"/>
      <c r="AG67" s="373"/>
      <c r="AH67" s="373"/>
      <c r="AI67" s="374"/>
      <c r="AJ67" s="373"/>
      <c r="AK67" s="373"/>
      <c r="AL67" s="373"/>
      <c r="AM67" s="373"/>
      <c r="AN67" s="374"/>
      <c r="AO67" s="373"/>
      <c r="AP67" s="373"/>
      <c r="AQ67" s="373"/>
      <c r="AR67" s="373"/>
      <c r="AS67" s="374"/>
      <c r="AT67" s="373"/>
      <c r="AU67" s="373"/>
      <c r="AV67" s="373"/>
      <c r="AW67" s="373"/>
      <c r="AX67" s="374"/>
      <c r="AY67" s="373"/>
      <c r="AZ67" s="373"/>
      <c r="BA67" s="373"/>
      <c r="BB67" s="373"/>
      <c r="BC67" s="374"/>
      <c r="BD67" s="373"/>
      <c r="BE67" s="373"/>
      <c r="BF67" s="373"/>
      <c r="BG67" s="373"/>
      <c r="BH67" s="374"/>
      <c r="BI67" s="373"/>
      <c r="BJ67" s="373"/>
      <c r="BK67" s="373"/>
      <c r="BL67" s="373"/>
      <c r="BM67" s="374"/>
      <c r="BN67" s="373"/>
      <c r="BO67" s="373"/>
      <c r="BP67" s="373"/>
      <c r="BQ67" s="373"/>
      <c r="BR67" s="374"/>
      <c r="BS67" s="373"/>
      <c r="BT67" s="373"/>
      <c r="BU67" s="373"/>
      <c r="BV67" s="373"/>
      <c r="BW67" s="9"/>
      <c r="BX67" s="10"/>
      <c r="BY67" s="10"/>
    </row>
    <row r="68" spans="4:77" x14ac:dyDescent="0.2">
      <c r="D68" s="9" t="s">
        <v>369</v>
      </c>
      <c r="E68" s="156"/>
      <c r="G68" s="373">
        <v>0</v>
      </c>
      <c r="H68" s="373"/>
      <c r="I68" s="373"/>
      <c r="J68" s="374"/>
      <c r="K68" s="373"/>
      <c r="L68" s="373">
        <f>SUM(L69:L69)</f>
        <v>0</v>
      </c>
      <c r="M68" s="373"/>
      <c r="N68" s="373"/>
      <c r="O68" s="374"/>
      <c r="P68" s="373"/>
      <c r="Q68" s="373">
        <f>SUM(Q69:Q69)</f>
        <v>0</v>
      </c>
      <c r="R68" s="373"/>
      <c r="S68" s="373"/>
      <c r="T68" s="374"/>
      <c r="U68" s="373"/>
      <c r="V68" s="373">
        <f>SUM(V69:V69)</f>
        <v>0</v>
      </c>
      <c r="W68" s="373"/>
      <c r="X68" s="373"/>
      <c r="Y68" s="374"/>
      <c r="Z68" s="373"/>
      <c r="AA68" s="373">
        <f>SUM(AA69:AA69)</f>
        <v>0</v>
      </c>
      <c r="AB68" s="373"/>
      <c r="AC68" s="373"/>
      <c r="AD68" s="374"/>
      <c r="AE68" s="373"/>
      <c r="AF68" s="373">
        <f>SUM(AF69:AF69)</f>
        <v>0</v>
      </c>
      <c r="AG68" s="373"/>
      <c r="AH68" s="373"/>
      <c r="AI68" s="374"/>
      <c r="AJ68" s="373"/>
      <c r="AK68" s="373">
        <f>SUM(AK69:AK69)</f>
        <v>0</v>
      </c>
      <c r="AL68" s="373"/>
      <c r="AM68" s="373"/>
      <c r="AN68" s="374"/>
      <c r="AO68" s="373"/>
      <c r="AP68" s="373">
        <f>SUM(AP69:AP69)</f>
        <v>0</v>
      </c>
      <c r="AQ68" s="373"/>
      <c r="AR68" s="373"/>
      <c r="AS68" s="374"/>
      <c r="AT68" s="373"/>
      <c r="AU68" s="373">
        <f>SUM(AU69:AU69)</f>
        <v>0</v>
      </c>
      <c r="AV68" s="373"/>
      <c r="AW68" s="373"/>
      <c r="AX68" s="374"/>
      <c r="AY68" s="373"/>
      <c r="AZ68" s="373">
        <f>SUM(AZ69:AZ69)</f>
        <v>85877</v>
      </c>
      <c r="BA68" s="373"/>
      <c r="BB68" s="373"/>
      <c r="BC68" s="374"/>
      <c r="BD68" s="373"/>
      <c r="BE68" s="373">
        <f>SUM(BE69:BE69)</f>
        <v>132680</v>
      </c>
      <c r="BF68" s="373"/>
      <c r="BG68" s="373"/>
      <c r="BH68" s="374"/>
      <c r="BI68" s="373"/>
      <c r="BJ68" s="373">
        <f>SUM(BJ69:BJ69)</f>
        <v>0</v>
      </c>
      <c r="BK68" s="373"/>
      <c r="BL68" s="373"/>
      <c r="BM68" s="374"/>
      <c r="BN68" s="373"/>
      <c r="BO68" s="373">
        <f>SUM(BO69:BO69)</f>
        <v>0</v>
      </c>
      <c r="BP68" s="373"/>
      <c r="BQ68" s="373"/>
      <c r="BR68" s="374"/>
      <c r="BS68" s="373"/>
      <c r="BT68" s="373">
        <f>SUM(BT69:BT69)</f>
        <v>218557</v>
      </c>
      <c r="BU68" s="373"/>
      <c r="BV68" s="373"/>
      <c r="BW68" s="9"/>
      <c r="BX68" s="10"/>
      <c r="BY68" s="10"/>
    </row>
    <row r="69" spans="4:77" x14ac:dyDescent="0.2">
      <c r="D69" s="9" t="s">
        <v>343</v>
      </c>
      <c r="E69" s="156"/>
      <c r="F69" s="378"/>
      <c r="G69" s="379">
        <v>0</v>
      </c>
      <c r="H69" s="380"/>
      <c r="I69" s="373"/>
      <c r="J69" s="374"/>
      <c r="K69" s="381"/>
      <c r="L69" s="379">
        <v>0</v>
      </c>
      <c r="M69" s="380"/>
      <c r="N69" s="373"/>
      <c r="O69" s="374"/>
      <c r="P69" s="381"/>
      <c r="Q69" s="379">
        <v>0</v>
      </c>
      <c r="R69" s="380"/>
      <c r="S69" s="373"/>
      <c r="T69" s="374"/>
      <c r="U69" s="381"/>
      <c r="V69" s="379">
        <v>0</v>
      </c>
      <c r="W69" s="380"/>
      <c r="X69" s="373"/>
      <c r="Y69" s="374"/>
      <c r="Z69" s="381"/>
      <c r="AA69" s="379">
        <v>0</v>
      </c>
      <c r="AB69" s="380"/>
      <c r="AC69" s="373"/>
      <c r="AD69" s="374"/>
      <c r="AE69" s="381"/>
      <c r="AF69" s="379">
        <v>0</v>
      </c>
      <c r="AG69" s="380"/>
      <c r="AH69" s="373"/>
      <c r="AI69" s="374"/>
      <c r="AJ69" s="381"/>
      <c r="AK69" s="379">
        <v>0</v>
      </c>
      <c r="AL69" s="380"/>
      <c r="AM69" s="373"/>
      <c r="AN69" s="374"/>
      <c r="AO69" s="381"/>
      <c r="AP69" s="379">
        <v>0</v>
      </c>
      <c r="AQ69" s="380"/>
      <c r="AR69" s="373"/>
      <c r="AS69" s="374"/>
      <c r="AT69" s="381"/>
      <c r="AU69" s="379">
        <v>0</v>
      </c>
      <c r="AV69" s="380"/>
      <c r="AW69" s="373"/>
      <c r="AX69" s="374"/>
      <c r="AY69" s="381"/>
      <c r="AZ69" s="379">
        <v>85877</v>
      </c>
      <c r="BA69" s="380"/>
      <c r="BB69" s="373"/>
      <c r="BC69" s="374"/>
      <c r="BD69" s="381"/>
      <c r="BE69" s="379">
        <v>132680</v>
      </c>
      <c r="BF69" s="380"/>
      <c r="BG69" s="373"/>
      <c r="BH69" s="374"/>
      <c r="BI69" s="381"/>
      <c r="BJ69" s="379">
        <v>0</v>
      </c>
      <c r="BK69" s="380"/>
      <c r="BL69" s="373"/>
      <c r="BM69" s="374"/>
      <c r="BN69" s="381"/>
      <c r="BO69" s="379">
        <v>0</v>
      </c>
      <c r="BP69" s="380"/>
      <c r="BQ69" s="373"/>
      <c r="BR69" s="374"/>
      <c r="BS69" s="381"/>
      <c r="BT69" s="379">
        <f>SUM(L69:BO69)</f>
        <v>218557</v>
      </c>
      <c r="BU69" s="380"/>
      <c r="BV69" s="373"/>
      <c r="BW69" s="9"/>
      <c r="BX69" s="10"/>
      <c r="BY69" s="10"/>
    </row>
    <row r="70" spans="4:77" x14ac:dyDescent="0.2">
      <c r="D70" s="9"/>
      <c r="E70" s="156"/>
      <c r="G70" s="407"/>
      <c r="H70" s="407"/>
      <c r="I70" s="407"/>
      <c r="J70" s="408"/>
      <c r="K70" s="407"/>
      <c r="L70" s="407"/>
      <c r="M70" s="407"/>
      <c r="N70" s="407"/>
      <c r="O70" s="408"/>
      <c r="P70" s="407"/>
      <c r="Q70" s="407"/>
      <c r="R70" s="407"/>
      <c r="S70" s="407"/>
      <c r="T70" s="408"/>
      <c r="U70" s="407"/>
      <c r="V70" s="407"/>
      <c r="W70" s="407"/>
      <c r="X70" s="407"/>
      <c r="Y70" s="408"/>
      <c r="Z70" s="407"/>
      <c r="AA70" s="407"/>
      <c r="AB70" s="407"/>
      <c r="AC70" s="407"/>
      <c r="AD70" s="408"/>
      <c r="AE70" s="407"/>
      <c r="AF70" s="407"/>
      <c r="AG70" s="407"/>
      <c r="AH70" s="407"/>
      <c r="AI70" s="408"/>
      <c r="AJ70" s="407"/>
      <c r="AK70" s="407"/>
      <c r="AL70" s="407"/>
      <c r="AM70" s="407"/>
      <c r="AN70" s="408"/>
      <c r="AO70" s="407"/>
      <c r="AP70" s="407"/>
      <c r="AQ70" s="407"/>
      <c r="AR70" s="407"/>
      <c r="AS70" s="408"/>
      <c r="AT70" s="407"/>
      <c r="AU70" s="407"/>
      <c r="AV70" s="407"/>
      <c r="AW70" s="407"/>
      <c r="AX70" s="408"/>
      <c r="AY70" s="407"/>
      <c r="AZ70" s="407"/>
      <c r="BA70" s="407"/>
      <c r="BB70" s="407"/>
      <c r="BC70" s="408"/>
      <c r="BD70" s="407"/>
      <c r="BE70" s="407"/>
      <c r="BF70" s="407"/>
      <c r="BG70" s="407"/>
      <c r="BH70" s="408"/>
      <c r="BI70" s="407"/>
      <c r="BJ70" s="407"/>
      <c r="BK70" s="407"/>
      <c r="BL70" s="407"/>
      <c r="BM70" s="408"/>
      <c r="BN70" s="407"/>
      <c r="BO70" s="407"/>
      <c r="BP70" s="407"/>
      <c r="BQ70" s="407"/>
      <c r="BR70" s="408"/>
      <c r="BS70" s="407"/>
      <c r="BT70" s="373"/>
      <c r="BU70" s="373"/>
      <c r="BV70" s="373"/>
      <c r="BW70" s="9"/>
      <c r="BX70" s="10"/>
      <c r="BY70" s="10"/>
    </row>
    <row r="71" spans="4:77" x14ac:dyDescent="0.2">
      <c r="D71" s="9" t="s">
        <v>370</v>
      </c>
      <c r="E71" s="156"/>
      <c r="G71" s="373">
        <v>0</v>
      </c>
      <c r="H71" s="373"/>
      <c r="I71" s="373"/>
      <c r="J71" s="374"/>
      <c r="K71" s="373"/>
      <c r="L71" s="373">
        <f>SUM(L72:L72)</f>
        <v>487336</v>
      </c>
      <c r="M71" s="373"/>
      <c r="N71" s="373"/>
      <c r="O71" s="374"/>
      <c r="P71" s="373"/>
      <c r="Q71" s="373">
        <f>SUM(Q72:Q72)</f>
        <v>0</v>
      </c>
      <c r="R71" s="373"/>
      <c r="S71" s="373"/>
      <c r="T71" s="374"/>
      <c r="U71" s="373"/>
      <c r="V71" s="373">
        <f>SUM(V72:V72)</f>
        <v>0</v>
      </c>
      <c r="W71" s="373"/>
      <c r="X71" s="373"/>
      <c r="Y71" s="374"/>
      <c r="Z71" s="373"/>
      <c r="AA71" s="373">
        <f>SUM(AA72:AA72)</f>
        <v>0</v>
      </c>
      <c r="AB71" s="373"/>
      <c r="AC71" s="373"/>
      <c r="AD71" s="374"/>
      <c r="AE71" s="373"/>
      <c r="AF71" s="373">
        <f>SUM(AF72:AF72)</f>
        <v>0</v>
      </c>
      <c r="AG71" s="373"/>
      <c r="AH71" s="373"/>
      <c r="AI71" s="374"/>
      <c r="AJ71" s="373"/>
      <c r="AK71" s="373">
        <f>SUM(AK72:AK72)</f>
        <v>0</v>
      </c>
      <c r="AL71" s="373"/>
      <c r="AM71" s="373"/>
      <c r="AN71" s="374"/>
      <c r="AO71" s="373"/>
      <c r="AP71" s="373">
        <f>SUM(AP72:AP72)</f>
        <v>0</v>
      </c>
      <c r="AQ71" s="373"/>
      <c r="AR71" s="373"/>
      <c r="AS71" s="374"/>
      <c r="AT71" s="373"/>
      <c r="AU71" s="373">
        <f>SUM(AU72:AU72)</f>
        <v>0</v>
      </c>
      <c r="AV71" s="373"/>
      <c r="AW71" s="373"/>
      <c r="AX71" s="374"/>
      <c r="AY71" s="373"/>
      <c r="AZ71" s="373">
        <f>SUM(AZ72:AZ72)</f>
        <v>68220</v>
      </c>
      <c r="BA71" s="373"/>
      <c r="BB71" s="373"/>
      <c r="BC71" s="374"/>
      <c r="BD71" s="373"/>
      <c r="BE71" s="373">
        <f>SUM(BE72:BE72)</f>
        <v>0</v>
      </c>
      <c r="BF71" s="373"/>
      <c r="BG71" s="373"/>
      <c r="BH71" s="374"/>
      <c r="BI71" s="373"/>
      <c r="BJ71" s="373">
        <f>SUM(BJ72:BJ72)</f>
        <v>0</v>
      </c>
      <c r="BK71" s="373"/>
      <c r="BL71" s="373"/>
      <c r="BM71" s="374"/>
      <c r="BN71" s="373"/>
      <c r="BO71" s="373">
        <f>SUM(BO72:BO72)</f>
        <v>0</v>
      </c>
      <c r="BP71" s="373"/>
      <c r="BQ71" s="373"/>
      <c r="BR71" s="374"/>
      <c r="BS71" s="373"/>
      <c r="BT71" s="373">
        <f>SUM(BT72:BT72)</f>
        <v>555556</v>
      </c>
      <c r="BU71" s="373"/>
      <c r="BV71" s="373"/>
      <c r="BW71" s="9"/>
      <c r="BX71" s="10"/>
      <c r="BY71" s="10"/>
    </row>
    <row r="72" spans="4:77" x14ac:dyDescent="0.2">
      <c r="D72" s="9" t="s">
        <v>343</v>
      </c>
      <c r="E72" s="156"/>
      <c r="F72" s="378"/>
      <c r="G72" s="379">
        <v>0</v>
      </c>
      <c r="H72" s="380"/>
      <c r="I72" s="373"/>
      <c r="J72" s="374"/>
      <c r="K72" s="381"/>
      <c r="L72" s="379">
        <v>487336</v>
      </c>
      <c r="M72" s="380"/>
      <c r="N72" s="373"/>
      <c r="O72" s="374"/>
      <c r="P72" s="381"/>
      <c r="Q72" s="379">
        <v>0</v>
      </c>
      <c r="R72" s="380"/>
      <c r="S72" s="373"/>
      <c r="T72" s="374"/>
      <c r="U72" s="381"/>
      <c r="V72" s="379">
        <v>0</v>
      </c>
      <c r="W72" s="380"/>
      <c r="X72" s="373"/>
      <c r="Y72" s="374"/>
      <c r="Z72" s="381"/>
      <c r="AA72" s="379">
        <v>0</v>
      </c>
      <c r="AB72" s="380"/>
      <c r="AC72" s="373"/>
      <c r="AD72" s="374"/>
      <c r="AE72" s="381"/>
      <c r="AF72" s="379">
        <v>0</v>
      </c>
      <c r="AG72" s="380"/>
      <c r="AH72" s="373"/>
      <c r="AI72" s="374"/>
      <c r="AJ72" s="381"/>
      <c r="AK72" s="379">
        <v>0</v>
      </c>
      <c r="AL72" s="380"/>
      <c r="AM72" s="373"/>
      <c r="AN72" s="374"/>
      <c r="AO72" s="381"/>
      <c r="AP72" s="379">
        <v>0</v>
      </c>
      <c r="AQ72" s="380"/>
      <c r="AR72" s="373"/>
      <c r="AS72" s="374"/>
      <c r="AT72" s="381"/>
      <c r="AU72" s="379">
        <v>0</v>
      </c>
      <c r="AV72" s="380"/>
      <c r="AW72" s="373"/>
      <c r="AX72" s="374"/>
      <c r="AY72" s="381"/>
      <c r="AZ72" s="379">
        <v>68220</v>
      </c>
      <c r="BA72" s="380"/>
      <c r="BB72" s="373"/>
      <c r="BC72" s="374"/>
      <c r="BD72" s="381"/>
      <c r="BE72" s="379">
        <v>0</v>
      </c>
      <c r="BF72" s="380"/>
      <c r="BG72" s="373"/>
      <c r="BH72" s="374"/>
      <c r="BI72" s="381"/>
      <c r="BJ72" s="379">
        <v>0</v>
      </c>
      <c r="BK72" s="380"/>
      <c r="BL72" s="373"/>
      <c r="BM72" s="374"/>
      <c r="BN72" s="381"/>
      <c r="BO72" s="379">
        <v>0</v>
      </c>
      <c r="BP72" s="380"/>
      <c r="BQ72" s="373"/>
      <c r="BR72" s="374"/>
      <c r="BS72" s="381"/>
      <c r="BT72" s="379">
        <f>SUM(L72:BO72)</f>
        <v>555556</v>
      </c>
      <c r="BU72" s="380"/>
      <c r="BV72" s="373"/>
      <c r="BW72" s="9"/>
      <c r="BX72" s="10"/>
      <c r="BY72" s="10"/>
    </row>
    <row r="73" spans="4:77" x14ac:dyDescent="0.2">
      <c r="D73" s="9"/>
      <c r="E73" s="156"/>
      <c r="G73" s="407"/>
      <c r="H73" s="407"/>
      <c r="I73" s="407"/>
      <c r="J73" s="408"/>
      <c r="K73" s="407"/>
      <c r="L73" s="407"/>
      <c r="M73" s="407"/>
      <c r="N73" s="407"/>
      <c r="O73" s="408"/>
      <c r="P73" s="407"/>
      <c r="Q73" s="407"/>
      <c r="R73" s="407"/>
      <c r="S73" s="407"/>
      <c r="T73" s="408"/>
      <c r="U73" s="407"/>
      <c r="V73" s="407"/>
      <c r="W73" s="407"/>
      <c r="X73" s="407"/>
      <c r="Y73" s="408"/>
      <c r="Z73" s="407"/>
      <c r="AA73" s="407"/>
      <c r="AB73" s="407"/>
      <c r="AC73" s="407"/>
      <c r="AD73" s="408"/>
      <c r="AE73" s="407"/>
      <c r="AF73" s="407"/>
      <c r="AG73" s="407"/>
      <c r="AH73" s="407"/>
      <c r="AI73" s="408"/>
      <c r="AJ73" s="407"/>
      <c r="AK73" s="407"/>
      <c r="AL73" s="407"/>
      <c r="AM73" s="407"/>
      <c r="AN73" s="408"/>
      <c r="AO73" s="407"/>
      <c r="AP73" s="407"/>
      <c r="AQ73" s="407"/>
      <c r="AR73" s="407"/>
      <c r="AS73" s="408"/>
      <c r="AT73" s="407"/>
      <c r="AU73" s="407"/>
      <c r="AV73" s="407"/>
      <c r="AW73" s="407"/>
      <c r="AX73" s="408"/>
      <c r="AY73" s="407"/>
      <c r="AZ73" s="407"/>
      <c r="BA73" s="407"/>
      <c r="BB73" s="407"/>
      <c r="BC73" s="408"/>
      <c r="BD73" s="407"/>
      <c r="BE73" s="407"/>
      <c r="BF73" s="407"/>
      <c r="BG73" s="407"/>
      <c r="BH73" s="408"/>
      <c r="BI73" s="407"/>
      <c r="BJ73" s="407"/>
      <c r="BK73" s="407"/>
      <c r="BL73" s="407"/>
      <c r="BM73" s="408"/>
      <c r="BN73" s="407"/>
      <c r="BO73" s="407"/>
      <c r="BP73" s="407"/>
      <c r="BQ73" s="407"/>
      <c r="BR73" s="408"/>
      <c r="BS73" s="407"/>
      <c r="BT73" s="373"/>
      <c r="BU73" s="373"/>
      <c r="BV73" s="373"/>
      <c r="BW73" s="9"/>
      <c r="BX73" s="10"/>
      <c r="BY73" s="10"/>
    </row>
    <row r="74" spans="4:77" x14ac:dyDescent="0.2">
      <c r="D74" s="9" t="str">
        <f>[54]domlongtermissues!D294</f>
        <v xml:space="preserve">  R2044 (8.75%  2044-45-46/01/31)</v>
      </c>
      <c r="E74" s="156"/>
      <c r="G74" s="373">
        <f>SUM(G75:G75)</f>
        <v>0</v>
      </c>
      <c r="H74" s="373"/>
      <c r="I74" s="373"/>
      <c r="J74" s="374"/>
      <c r="K74" s="373"/>
      <c r="L74" s="373">
        <f>SUM(L75:L75)</f>
        <v>0</v>
      </c>
      <c r="M74" s="373"/>
      <c r="N74" s="373"/>
      <c r="O74" s="374"/>
      <c r="P74" s="373"/>
      <c r="Q74" s="373">
        <f>SUM(Q75:Q75)</f>
        <v>0</v>
      </c>
      <c r="R74" s="373"/>
      <c r="S74" s="373"/>
      <c r="T74" s="374"/>
      <c r="U74" s="373"/>
      <c r="V74" s="373">
        <f>SUM(V75:V75)</f>
        <v>0</v>
      </c>
      <c r="W74" s="373"/>
      <c r="X74" s="373"/>
      <c r="Y74" s="374"/>
      <c r="Z74" s="373"/>
      <c r="AA74" s="373">
        <f>SUM(AA75:AA75)</f>
        <v>0</v>
      </c>
      <c r="AB74" s="373"/>
      <c r="AC74" s="373"/>
      <c r="AD74" s="374"/>
      <c r="AE74" s="373"/>
      <c r="AF74" s="373">
        <f>SUM(AF75:AF75)</f>
        <v>0</v>
      </c>
      <c r="AG74" s="373"/>
      <c r="AH74" s="373"/>
      <c r="AI74" s="374"/>
      <c r="AJ74" s="373"/>
      <c r="AK74" s="373">
        <f>SUM(AK75:AK75)</f>
        <v>0</v>
      </c>
      <c r="AL74" s="373"/>
      <c r="AM74" s="373"/>
      <c r="AN74" s="374"/>
      <c r="AO74" s="373"/>
      <c r="AP74" s="373">
        <f>SUM(AP75:AP75)</f>
        <v>0</v>
      </c>
      <c r="AQ74" s="373"/>
      <c r="AR74" s="373"/>
      <c r="AS74" s="374"/>
      <c r="AT74" s="373"/>
      <c r="AU74" s="373">
        <f>SUM(AU75:AU75)</f>
        <v>0</v>
      </c>
      <c r="AV74" s="373"/>
      <c r="AW74" s="373"/>
      <c r="AX74" s="374"/>
      <c r="AY74" s="373"/>
      <c r="AZ74" s="373">
        <f>SUM(AZ75:AZ75)</f>
        <v>77049</v>
      </c>
      <c r="BA74" s="373"/>
      <c r="BB74" s="373"/>
      <c r="BC74" s="374"/>
      <c r="BD74" s="373"/>
      <c r="BE74" s="373">
        <f>SUM(BE75:BE75)</f>
        <v>0</v>
      </c>
      <c r="BF74" s="373"/>
      <c r="BG74" s="373"/>
      <c r="BH74" s="374"/>
      <c r="BI74" s="373"/>
      <c r="BJ74" s="373">
        <f>SUM(BJ75:BJ75)</f>
        <v>0</v>
      </c>
      <c r="BK74" s="373"/>
      <c r="BL74" s="373"/>
      <c r="BM74" s="374"/>
      <c r="BN74" s="373"/>
      <c r="BO74" s="373">
        <f>SUM(BO75:BO75)</f>
        <v>0</v>
      </c>
      <c r="BP74" s="373"/>
      <c r="BQ74" s="373"/>
      <c r="BR74" s="374"/>
      <c r="BS74" s="373"/>
      <c r="BT74" s="373">
        <f>SUM(BT75:BT75)</f>
        <v>77049</v>
      </c>
      <c r="BU74" s="373"/>
      <c r="BV74" s="373"/>
      <c r="BW74" s="9"/>
      <c r="BX74" s="10"/>
      <c r="BY74" s="10"/>
    </row>
    <row r="75" spans="4:77" x14ac:dyDescent="0.2">
      <c r="D75" s="9" t="s">
        <v>343</v>
      </c>
      <c r="E75" s="156"/>
      <c r="F75" s="378"/>
      <c r="G75" s="379">
        <v>0</v>
      </c>
      <c r="H75" s="380"/>
      <c r="I75" s="373"/>
      <c r="J75" s="374"/>
      <c r="K75" s="381"/>
      <c r="L75" s="379">
        <v>0</v>
      </c>
      <c r="M75" s="380"/>
      <c r="N75" s="373"/>
      <c r="O75" s="374"/>
      <c r="P75" s="381"/>
      <c r="Q75" s="379">
        <v>0</v>
      </c>
      <c r="R75" s="380"/>
      <c r="S75" s="373"/>
      <c r="T75" s="374"/>
      <c r="U75" s="381"/>
      <c r="V75" s="379">
        <v>0</v>
      </c>
      <c r="W75" s="380"/>
      <c r="X75" s="373"/>
      <c r="Y75" s="374"/>
      <c r="Z75" s="381"/>
      <c r="AA75" s="379">
        <v>0</v>
      </c>
      <c r="AB75" s="380"/>
      <c r="AC75" s="373"/>
      <c r="AD75" s="374"/>
      <c r="AE75" s="381"/>
      <c r="AF75" s="379">
        <v>0</v>
      </c>
      <c r="AG75" s="380"/>
      <c r="AH75" s="373"/>
      <c r="AI75" s="374"/>
      <c r="AJ75" s="381"/>
      <c r="AK75" s="379">
        <v>0</v>
      </c>
      <c r="AL75" s="380"/>
      <c r="AM75" s="373"/>
      <c r="AN75" s="374"/>
      <c r="AO75" s="381"/>
      <c r="AP75" s="379">
        <v>0</v>
      </c>
      <c r="AQ75" s="380"/>
      <c r="AR75" s="373"/>
      <c r="AS75" s="374"/>
      <c r="AT75" s="381"/>
      <c r="AU75" s="379">
        <v>0</v>
      </c>
      <c r="AV75" s="380"/>
      <c r="AW75" s="373"/>
      <c r="AX75" s="374"/>
      <c r="AY75" s="381"/>
      <c r="AZ75" s="379">
        <v>77049</v>
      </c>
      <c r="BA75" s="380"/>
      <c r="BB75" s="373"/>
      <c r="BC75" s="374"/>
      <c r="BD75" s="381"/>
      <c r="BE75" s="379">
        <v>0</v>
      </c>
      <c r="BF75" s="380"/>
      <c r="BG75" s="373"/>
      <c r="BH75" s="374"/>
      <c r="BI75" s="381"/>
      <c r="BJ75" s="379">
        <v>0</v>
      </c>
      <c r="BK75" s="380"/>
      <c r="BL75" s="373"/>
      <c r="BM75" s="374"/>
      <c r="BN75" s="381"/>
      <c r="BO75" s="379">
        <v>0</v>
      </c>
      <c r="BP75" s="380"/>
      <c r="BQ75" s="373"/>
      <c r="BR75" s="374"/>
      <c r="BS75" s="381"/>
      <c r="BT75" s="379">
        <f>SUM(L75:BO75)</f>
        <v>77049</v>
      </c>
      <c r="BU75" s="380"/>
      <c r="BV75" s="373"/>
      <c r="BW75" s="9"/>
      <c r="BX75" s="10"/>
      <c r="BY75" s="10"/>
    </row>
    <row r="76" spans="4:77" x14ac:dyDescent="0.2">
      <c r="D76" s="9"/>
      <c r="E76" s="156"/>
      <c r="G76" s="407"/>
      <c r="H76" s="407"/>
      <c r="I76" s="407"/>
      <c r="J76" s="408"/>
      <c r="K76" s="407"/>
      <c r="L76" s="407"/>
      <c r="M76" s="407"/>
      <c r="N76" s="407"/>
      <c r="O76" s="408"/>
      <c r="P76" s="407"/>
      <c r="Q76" s="407"/>
      <c r="R76" s="407"/>
      <c r="S76" s="407"/>
      <c r="T76" s="408"/>
      <c r="U76" s="407"/>
      <c r="V76" s="407"/>
      <c r="W76" s="407"/>
      <c r="X76" s="407"/>
      <c r="Y76" s="408"/>
      <c r="Z76" s="407"/>
      <c r="AA76" s="407"/>
      <c r="AB76" s="407"/>
      <c r="AC76" s="407"/>
      <c r="AD76" s="408"/>
      <c r="AE76" s="407"/>
      <c r="AF76" s="407"/>
      <c r="AG76" s="407"/>
      <c r="AH76" s="407"/>
      <c r="AI76" s="408"/>
      <c r="AJ76" s="407"/>
      <c r="AK76" s="407"/>
      <c r="AL76" s="407"/>
      <c r="AM76" s="407"/>
      <c r="AN76" s="408"/>
      <c r="AO76" s="407"/>
      <c r="AP76" s="407"/>
      <c r="AQ76" s="407"/>
      <c r="AR76" s="407"/>
      <c r="AS76" s="408"/>
      <c r="AT76" s="407"/>
      <c r="AU76" s="407"/>
      <c r="AV76" s="407"/>
      <c r="AW76" s="407"/>
      <c r="AX76" s="408"/>
      <c r="AY76" s="407"/>
      <c r="AZ76" s="407"/>
      <c r="BA76" s="407"/>
      <c r="BB76" s="407"/>
      <c r="BC76" s="408"/>
      <c r="BD76" s="407"/>
      <c r="BE76" s="407"/>
      <c r="BF76" s="407"/>
      <c r="BG76" s="407"/>
      <c r="BH76" s="408"/>
      <c r="BI76" s="407"/>
      <c r="BJ76" s="407"/>
      <c r="BK76" s="407"/>
      <c r="BL76" s="407"/>
      <c r="BM76" s="408"/>
      <c r="BN76" s="407"/>
      <c r="BO76" s="407"/>
      <c r="BP76" s="407"/>
      <c r="BQ76" s="407"/>
      <c r="BR76" s="408"/>
      <c r="BS76" s="407"/>
      <c r="BT76" s="373"/>
      <c r="BU76" s="373"/>
      <c r="BV76" s="373"/>
      <c r="BW76" s="9"/>
      <c r="BX76" s="10"/>
      <c r="BY76" s="10"/>
    </row>
    <row r="77" spans="4:77" x14ac:dyDescent="0.2">
      <c r="D77" s="9" t="s">
        <v>354</v>
      </c>
      <c r="E77" s="156"/>
      <c r="G77" s="373">
        <f>SUM(G78:G78)</f>
        <v>0</v>
      </c>
      <c r="H77" s="373"/>
      <c r="I77" s="373"/>
      <c r="J77" s="374"/>
      <c r="K77" s="373"/>
      <c r="L77" s="373">
        <f>SUM(L78:L78)</f>
        <v>0</v>
      </c>
      <c r="M77" s="373"/>
      <c r="N77" s="373"/>
      <c r="O77" s="374"/>
      <c r="P77" s="373"/>
      <c r="Q77" s="373">
        <f>SUM(Q78:Q78)</f>
        <v>29682</v>
      </c>
      <c r="R77" s="373"/>
      <c r="S77" s="373"/>
      <c r="T77" s="374"/>
      <c r="U77" s="373"/>
      <c r="V77" s="373">
        <f>SUM(V78:V78)</f>
        <v>28489</v>
      </c>
      <c r="W77" s="373"/>
      <c r="X77" s="373"/>
      <c r="Y77" s="374"/>
      <c r="Z77" s="373"/>
      <c r="AA77" s="373">
        <f>SUM(AA78:AA78)</f>
        <v>0</v>
      </c>
      <c r="AB77" s="373"/>
      <c r="AC77" s="373"/>
      <c r="AD77" s="374"/>
      <c r="AE77" s="373"/>
      <c r="AF77" s="373">
        <f>SUM(AF78:AF78)</f>
        <v>0</v>
      </c>
      <c r="AG77" s="373"/>
      <c r="AH77" s="373"/>
      <c r="AI77" s="374"/>
      <c r="AJ77" s="373"/>
      <c r="AK77" s="373">
        <f>SUM(AK78:AK78)</f>
        <v>0</v>
      </c>
      <c r="AL77" s="373"/>
      <c r="AM77" s="373"/>
      <c r="AN77" s="374"/>
      <c r="AO77" s="373"/>
      <c r="AP77" s="373">
        <f>SUM(AP78:AP78)</f>
        <v>0</v>
      </c>
      <c r="AQ77" s="373"/>
      <c r="AR77" s="373"/>
      <c r="AS77" s="374"/>
      <c r="AT77" s="373"/>
      <c r="AU77" s="373">
        <f>SUM(AU78:AU78)</f>
        <v>0</v>
      </c>
      <c r="AV77" s="373"/>
      <c r="AW77" s="373"/>
      <c r="AX77" s="374"/>
      <c r="AY77" s="373"/>
      <c r="AZ77" s="373">
        <f>SUM(AZ78:AZ78)</f>
        <v>59192</v>
      </c>
      <c r="BA77" s="373"/>
      <c r="BB77" s="373"/>
      <c r="BC77" s="374"/>
      <c r="BD77" s="373"/>
      <c r="BE77" s="373">
        <f>SUM(BE78:BE78)</f>
        <v>0</v>
      </c>
      <c r="BF77" s="373"/>
      <c r="BG77" s="373"/>
      <c r="BH77" s="374"/>
      <c r="BI77" s="373"/>
      <c r="BJ77" s="373">
        <f>SUM(BJ78:BJ78)</f>
        <v>0</v>
      </c>
      <c r="BK77" s="373"/>
      <c r="BL77" s="373"/>
      <c r="BM77" s="374"/>
      <c r="BN77" s="373"/>
      <c r="BO77" s="373">
        <f>SUM(BO78:BO78)</f>
        <v>0</v>
      </c>
      <c r="BP77" s="373"/>
      <c r="BQ77" s="373"/>
      <c r="BR77" s="374"/>
      <c r="BS77" s="373"/>
      <c r="BT77" s="373">
        <f>SUM(BT78:BT78)</f>
        <v>117363</v>
      </c>
      <c r="BU77" s="373"/>
      <c r="BV77" s="373"/>
      <c r="BW77" s="9"/>
      <c r="BX77" s="10"/>
      <c r="BY77" s="10"/>
    </row>
    <row r="78" spans="4:77" x14ac:dyDescent="0.2">
      <c r="D78" s="9" t="s">
        <v>343</v>
      </c>
      <c r="E78" s="156"/>
      <c r="F78" s="378"/>
      <c r="G78" s="379">
        <v>0</v>
      </c>
      <c r="H78" s="380"/>
      <c r="I78" s="373"/>
      <c r="J78" s="374"/>
      <c r="K78" s="381"/>
      <c r="L78" s="379">
        <v>0</v>
      </c>
      <c r="M78" s="380"/>
      <c r="N78" s="373"/>
      <c r="O78" s="374"/>
      <c r="P78" s="381"/>
      <c r="Q78" s="379">
        <v>29682</v>
      </c>
      <c r="R78" s="380"/>
      <c r="S78" s="373"/>
      <c r="T78" s="374"/>
      <c r="U78" s="381"/>
      <c r="V78" s="379">
        <v>28489</v>
      </c>
      <c r="W78" s="380"/>
      <c r="X78" s="373"/>
      <c r="Y78" s="374"/>
      <c r="Z78" s="381"/>
      <c r="AA78" s="379">
        <v>0</v>
      </c>
      <c r="AB78" s="380"/>
      <c r="AC78" s="373"/>
      <c r="AD78" s="374"/>
      <c r="AE78" s="381"/>
      <c r="AF78" s="379">
        <v>0</v>
      </c>
      <c r="AG78" s="380"/>
      <c r="AH78" s="373"/>
      <c r="AI78" s="374"/>
      <c r="AJ78" s="381"/>
      <c r="AK78" s="379">
        <v>0</v>
      </c>
      <c r="AL78" s="380"/>
      <c r="AM78" s="373"/>
      <c r="AN78" s="374"/>
      <c r="AO78" s="381"/>
      <c r="AP78" s="379">
        <v>0</v>
      </c>
      <c r="AQ78" s="380"/>
      <c r="AR78" s="373"/>
      <c r="AS78" s="374"/>
      <c r="AT78" s="381"/>
      <c r="AU78" s="379">
        <v>0</v>
      </c>
      <c r="AV78" s="380"/>
      <c r="AW78" s="373"/>
      <c r="AX78" s="374"/>
      <c r="AY78" s="381"/>
      <c r="AZ78" s="379">
        <v>59192</v>
      </c>
      <c r="BA78" s="380"/>
      <c r="BB78" s="373"/>
      <c r="BC78" s="374"/>
      <c r="BD78" s="381"/>
      <c r="BE78" s="379">
        <v>0</v>
      </c>
      <c r="BF78" s="380"/>
      <c r="BG78" s="373"/>
      <c r="BH78" s="374"/>
      <c r="BI78" s="381"/>
      <c r="BJ78" s="379">
        <v>0</v>
      </c>
      <c r="BK78" s="380"/>
      <c r="BL78" s="373"/>
      <c r="BM78" s="374"/>
      <c r="BN78" s="381"/>
      <c r="BO78" s="379">
        <v>0</v>
      </c>
      <c r="BP78" s="380"/>
      <c r="BQ78" s="373"/>
      <c r="BR78" s="374"/>
      <c r="BS78" s="381"/>
      <c r="BT78" s="379">
        <f>SUM(L78:BO78)</f>
        <v>117363</v>
      </c>
      <c r="BU78" s="380"/>
      <c r="BV78" s="373"/>
      <c r="BW78" s="9"/>
      <c r="BX78" s="10"/>
      <c r="BY78" s="10"/>
    </row>
    <row r="79" spans="4:77" ht="12.75" hidden="1" customHeight="1" x14ac:dyDescent="0.2">
      <c r="D79" s="9"/>
      <c r="E79" s="156"/>
      <c r="G79" s="373"/>
      <c r="H79" s="373"/>
      <c r="I79" s="373"/>
      <c r="J79" s="374"/>
      <c r="K79" s="373"/>
      <c r="L79" s="373"/>
      <c r="M79" s="373"/>
      <c r="N79" s="373"/>
      <c r="O79" s="374"/>
      <c r="P79" s="373"/>
      <c r="Q79" s="373"/>
      <c r="R79" s="373"/>
      <c r="S79" s="373"/>
      <c r="T79" s="374"/>
      <c r="U79" s="373"/>
      <c r="V79" s="373"/>
      <c r="W79" s="373"/>
      <c r="X79" s="373"/>
      <c r="Y79" s="374"/>
      <c r="Z79" s="373"/>
      <c r="AA79" s="373"/>
      <c r="AB79" s="373"/>
      <c r="AC79" s="373"/>
      <c r="AD79" s="374"/>
      <c r="AE79" s="373"/>
      <c r="AF79" s="373"/>
      <c r="AG79" s="373"/>
      <c r="AH79" s="373"/>
      <c r="AI79" s="374"/>
      <c r="AJ79" s="373"/>
      <c r="AK79" s="373"/>
      <c r="AL79" s="373"/>
      <c r="AM79" s="373"/>
      <c r="AN79" s="374"/>
      <c r="AO79" s="373"/>
      <c r="AP79" s="373"/>
      <c r="AQ79" s="373"/>
      <c r="AR79" s="373"/>
      <c r="AS79" s="374"/>
      <c r="AT79" s="373"/>
      <c r="AU79" s="373"/>
      <c r="AV79" s="373"/>
      <c r="AW79" s="373"/>
      <c r="AX79" s="374"/>
      <c r="AY79" s="373"/>
      <c r="AZ79" s="373"/>
      <c r="BA79" s="373"/>
      <c r="BB79" s="373"/>
      <c r="BC79" s="374"/>
      <c r="BD79" s="373"/>
      <c r="BE79" s="373"/>
      <c r="BF79" s="373"/>
      <c r="BG79" s="373"/>
      <c r="BH79" s="374"/>
      <c r="BI79" s="373"/>
      <c r="BJ79" s="373"/>
      <c r="BK79" s="373"/>
      <c r="BL79" s="373"/>
      <c r="BM79" s="374"/>
      <c r="BN79" s="373"/>
      <c r="BO79" s="373"/>
      <c r="BP79" s="373"/>
      <c r="BQ79" s="373"/>
      <c r="BR79" s="374"/>
      <c r="BS79" s="373"/>
      <c r="BT79" s="373"/>
      <c r="BU79" s="373"/>
      <c r="BV79" s="373"/>
      <c r="BW79" s="9"/>
      <c r="BX79" s="10"/>
      <c r="BY79" s="10"/>
    </row>
    <row r="80" spans="4:77" ht="12.75" hidden="1" customHeight="1" x14ac:dyDescent="0.2">
      <c r="D80" s="9" t="s">
        <v>376</v>
      </c>
      <c r="E80" s="156"/>
      <c r="G80" s="373">
        <f>SUM(G81:G81)</f>
        <v>0</v>
      </c>
      <c r="H80" s="373"/>
      <c r="I80" s="373"/>
      <c r="J80" s="374"/>
      <c r="K80" s="373"/>
      <c r="L80" s="1">
        <f>SUM(L81:L81)</f>
        <v>0</v>
      </c>
      <c r="M80" s="373">
        <f>SUM(M81:M81)</f>
        <v>0</v>
      </c>
      <c r="N80" s="373"/>
      <c r="O80" s="374"/>
      <c r="Q80" s="1">
        <f>SUM(Q81:Q81)</f>
        <v>0</v>
      </c>
      <c r="R80" s="373"/>
      <c r="S80" s="373"/>
      <c r="T80" s="374"/>
      <c r="V80" s="1">
        <f>SUM(V81:V81)</f>
        <v>0</v>
      </c>
      <c r="W80" s="373"/>
      <c r="X80" s="373"/>
      <c r="Y80" s="374"/>
      <c r="AA80" s="1">
        <f>SUM(AA81:AA81)</f>
        <v>0</v>
      </c>
      <c r="AB80" s="373"/>
      <c r="AC80" s="373"/>
      <c r="AD80" s="374"/>
      <c r="AF80" s="1">
        <f>SUM(AF81:AF81)</f>
        <v>0</v>
      </c>
      <c r="AG80" s="373"/>
      <c r="AH80" s="373"/>
      <c r="AI80" s="374"/>
      <c r="AK80" s="1">
        <f>SUM(AK81:AK81)</f>
        <v>0</v>
      </c>
      <c r="AL80" s="373"/>
      <c r="AM80" s="373"/>
      <c r="AN80" s="374"/>
      <c r="AP80" s="1">
        <f>SUM(AP81:AP81)</f>
        <v>0</v>
      </c>
      <c r="AQ80" s="373"/>
      <c r="AR80" s="373"/>
      <c r="AS80" s="374"/>
      <c r="AU80" s="1">
        <f>SUM(AU81:AU81)</f>
        <v>0</v>
      </c>
      <c r="AV80" s="373"/>
      <c r="AW80" s="373"/>
      <c r="AX80" s="374"/>
      <c r="AZ80" s="1">
        <f>SUM(AZ81:AZ81)</f>
        <v>0</v>
      </c>
      <c r="BA80" s="373"/>
      <c r="BB80" s="373"/>
      <c r="BC80" s="374"/>
      <c r="BE80" s="1">
        <f>SUM(BE81:BE81)</f>
        <v>0</v>
      </c>
      <c r="BF80" s="373"/>
      <c r="BG80" s="373"/>
      <c r="BH80" s="374"/>
      <c r="BJ80" s="1">
        <f>SUM(BJ81:BJ81)</f>
        <v>0</v>
      </c>
      <c r="BK80" s="373"/>
      <c r="BL80" s="373"/>
      <c r="BM80" s="374"/>
      <c r="BO80" s="1">
        <f>SUM(BO81:BO81)</f>
        <v>0</v>
      </c>
      <c r="BP80" s="373"/>
      <c r="BQ80" s="373"/>
      <c r="BR80" s="374"/>
      <c r="BT80" s="373">
        <f>SUM(BT81:BT81)</f>
        <v>0</v>
      </c>
      <c r="BU80" s="373"/>
      <c r="BV80" s="373"/>
      <c r="BW80" s="9"/>
      <c r="BX80" s="10"/>
      <c r="BY80" s="10"/>
    </row>
    <row r="81" spans="4:77" ht="12.75" hidden="1" customHeight="1" x14ac:dyDescent="0.2">
      <c r="D81" s="9" t="s">
        <v>343</v>
      </c>
      <c r="E81" s="156"/>
      <c r="F81" s="378"/>
      <c r="G81" s="379">
        <v>0</v>
      </c>
      <c r="H81" s="380"/>
      <c r="I81" s="373"/>
      <c r="J81" s="374"/>
      <c r="K81" s="381"/>
      <c r="L81" s="379">
        <v>0</v>
      </c>
      <c r="M81" s="380"/>
      <c r="N81" s="384"/>
      <c r="O81" s="374"/>
      <c r="P81" s="378"/>
      <c r="Q81" s="379">
        <v>0</v>
      </c>
      <c r="R81" s="380"/>
      <c r="S81" s="373"/>
      <c r="T81" s="374"/>
      <c r="U81" s="378"/>
      <c r="V81" s="379">
        <v>0</v>
      </c>
      <c r="W81" s="380"/>
      <c r="X81" s="373"/>
      <c r="Y81" s="374"/>
      <c r="Z81" s="378"/>
      <c r="AA81" s="379">
        <v>0</v>
      </c>
      <c r="AB81" s="380"/>
      <c r="AC81" s="373"/>
      <c r="AD81" s="374"/>
      <c r="AE81" s="378"/>
      <c r="AF81" s="379">
        <v>0</v>
      </c>
      <c r="AG81" s="380"/>
      <c r="AH81" s="373"/>
      <c r="AI81" s="374"/>
      <c r="AJ81" s="378"/>
      <c r="AK81" s="379">
        <v>0</v>
      </c>
      <c r="AL81" s="380"/>
      <c r="AM81" s="373"/>
      <c r="AN81" s="374"/>
      <c r="AO81" s="378"/>
      <c r="AP81" s="379">
        <v>0</v>
      </c>
      <c r="AQ81" s="380"/>
      <c r="AR81" s="373"/>
      <c r="AS81" s="374"/>
      <c r="AT81" s="378"/>
      <c r="AU81" s="379">
        <v>0</v>
      </c>
      <c r="AV81" s="380"/>
      <c r="AW81" s="373"/>
      <c r="AX81" s="374"/>
      <c r="AY81" s="378"/>
      <c r="AZ81" s="379">
        <v>0</v>
      </c>
      <c r="BA81" s="380"/>
      <c r="BB81" s="373"/>
      <c r="BC81" s="374"/>
      <c r="BD81" s="378"/>
      <c r="BE81" s="379">
        <v>0</v>
      </c>
      <c r="BF81" s="380"/>
      <c r="BG81" s="373"/>
      <c r="BH81" s="374"/>
      <c r="BI81" s="378"/>
      <c r="BJ81" s="379">
        <v>0</v>
      </c>
      <c r="BK81" s="380"/>
      <c r="BL81" s="373"/>
      <c r="BM81" s="374"/>
      <c r="BN81" s="378"/>
      <c r="BO81" s="379">
        <v>0</v>
      </c>
      <c r="BP81" s="380"/>
      <c r="BQ81" s="373"/>
      <c r="BR81" s="374"/>
      <c r="BS81" s="378"/>
      <c r="BT81" s="379">
        <f>SUM(L81:BO81)</f>
        <v>0</v>
      </c>
      <c r="BU81" s="380"/>
      <c r="BV81" s="373"/>
      <c r="BW81" s="9"/>
      <c r="BX81" s="10"/>
      <c r="BY81" s="10"/>
    </row>
    <row r="82" spans="4:77" ht="12.75" hidden="1" customHeight="1" x14ac:dyDescent="0.2">
      <c r="D82" s="9"/>
      <c r="E82" s="156"/>
      <c r="G82" s="407"/>
      <c r="H82" s="407"/>
      <c r="I82" s="407"/>
      <c r="J82" s="408"/>
      <c r="K82" s="407"/>
      <c r="L82" s="407"/>
      <c r="M82" s="407"/>
      <c r="N82" s="407"/>
      <c r="O82" s="408"/>
      <c r="P82" s="407"/>
      <c r="Q82" s="407"/>
      <c r="R82" s="407"/>
      <c r="S82" s="407"/>
      <c r="T82" s="408"/>
      <c r="U82" s="407"/>
      <c r="V82" s="407"/>
      <c r="W82" s="407"/>
      <c r="X82" s="407"/>
      <c r="Y82" s="408"/>
      <c r="Z82" s="407"/>
      <c r="AA82" s="407"/>
      <c r="AB82" s="407"/>
      <c r="AC82" s="407"/>
      <c r="AD82" s="408"/>
      <c r="AE82" s="407"/>
      <c r="AF82" s="407"/>
      <c r="AG82" s="407"/>
      <c r="AH82" s="407"/>
      <c r="AI82" s="408"/>
      <c r="AJ82" s="407"/>
      <c r="AK82" s="407"/>
      <c r="AL82" s="407"/>
      <c r="AM82" s="407"/>
      <c r="AN82" s="408"/>
      <c r="AO82" s="407"/>
      <c r="AP82" s="407"/>
      <c r="AQ82" s="407"/>
      <c r="AR82" s="407"/>
      <c r="AS82" s="408"/>
      <c r="AT82" s="407"/>
      <c r="AU82" s="407"/>
      <c r="AV82" s="407"/>
      <c r="AW82" s="407"/>
      <c r="AX82" s="408"/>
      <c r="AY82" s="407"/>
      <c r="AZ82" s="407"/>
      <c r="BA82" s="407"/>
      <c r="BB82" s="407"/>
      <c r="BC82" s="408"/>
      <c r="BD82" s="407"/>
      <c r="BE82" s="407"/>
      <c r="BF82" s="407"/>
      <c r="BG82" s="407"/>
      <c r="BH82" s="408"/>
      <c r="BI82" s="407"/>
      <c r="BJ82" s="407"/>
      <c r="BK82" s="407"/>
      <c r="BL82" s="407"/>
      <c r="BM82" s="408"/>
      <c r="BN82" s="407"/>
      <c r="BO82" s="407"/>
      <c r="BP82" s="407"/>
      <c r="BQ82" s="407"/>
      <c r="BR82" s="408"/>
      <c r="BS82" s="407"/>
      <c r="BT82" s="373"/>
      <c r="BU82" s="373"/>
      <c r="BV82" s="373"/>
      <c r="BW82" s="9"/>
      <c r="BX82" s="10"/>
      <c r="BY82" s="10"/>
    </row>
    <row r="83" spans="4:77" ht="12.75" hidden="1" customHeight="1" x14ac:dyDescent="0.2">
      <c r="D83" s="9" t="s">
        <v>352</v>
      </c>
      <c r="E83" s="156"/>
      <c r="G83" s="373">
        <f>SUM(G84:G84)</f>
        <v>0</v>
      </c>
      <c r="H83" s="373"/>
      <c r="I83" s="373"/>
      <c r="J83" s="374"/>
      <c r="K83" s="373"/>
      <c r="L83" s="373">
        <f>SUM(L84:L84)</f>
        <v>0</v>
      </c>
      <c r="M83" s="373"/>
      <c r="N83" s="373"/>
      <c r="O83" s="374"/>
      <c r="P83" s="373"/>
      <c r="Q83" s="373">
        <f>SUM(Q84:Q84)</f>
        <v>0</v>
      </c>
      <c r="R83" s="373"/>
      <c r="S83" s="373"/>
      <c r="T83" s="374"/>
      <c r="U83" s="373"/>
      <c r="V83" s="373">
        <f>SUM(V84:V84)</f>
        <v>0</v>
      </c>
      <c r="W83" s="373"/>
      <c r="X83" s="373"/>
      <c r="Y83" s="374"/>
      <c r="Z83" s="373"/>
      <c r="AA83" s="373">
        <f>SUM(AA84:AA84)</f>
        <v>0</v>
      </c>
      <c r="AB83" s="373"/>
      <c r="AC83" s="373"/>
      <c r="AD83" s="374"/>
      <c r="AE83" s="373"/>
      <c r="AF83" s="373">
        <f>SUM(AF84:AF84)</f>
        <v>0</v>
      </c>
      <c r="AG83" s="373"/>
      <c r="AH83" s="373"/>
      <c r="AI83" s="374"/>
      <c r="AJ83" s="373"/>
      <c r="AK83" s="373">
        <f>SUM(AK84:AK84)</f>
        <v>0</v>
      </c>
      <c r="AL83" s="373"/>
      <c r="AM83" s="373"/>
      <c r="AN83" s="374"/>
      <c r="AO83" s="373"/>
      <c r="AP83" s="373">
        <f>SUM(AP84:AP84)</f>
        <v>0</v>
      </c>
      <c r="AQ83" s="373"/>
      <c r="AR83" s="373"/>
      <c r="AS83" s="374"/>
      <c r="AT83" s="373"/>
      <c r="AU83" s="373">
        <f>SUM(AU84:AU84)</f>
        <v>0</v>
      </c>
      <c r="AV83" s="373"/>
      <c r="AW83" s="373"/>
      <c r="AX83" s="374"/>
      <c r="AY83" s="373"/>
      <c r="AZ83" s="373">
        <f>SUM(AZ84:AZ84)</f>
        <v>0</v>
      </c>
      <c r="BA83" s="373"/>
      <c r="BB83" s="373"/>
      <c r="BC83" s="374"/>
      <c r="BD83" s="373"/>
      <c r="BE83" s="373">
        <f>SUM(BE84:BE84)</f>
        <v>0</v>
      </c>
      <c r="BF83" s="373"/>
      <c r="BG83" s="373"/>
      <c r="BH83" s="374"/>
      <c r="BI83" s="373"/>
      <c r="BJ83" s="373">
        <f>SUM(BJ84:BJ84)</f>
        <v>0</v>
      </c>
      <c r="BK83" s="373"/>
      <c r="BL83" s="373"/>
      <c r="BM83" s="374"/>
      <c r="BN83" s="373"/>
      <c r="BO83" s="373">
        <f>SUM(BO84:BO84)</f>
        <v>0</v>
      </c>
      <c r="BP83" s="373"/>
      <c r="BQ83" s="373"/>
      <c r="BR83" s="374"/>
      <c r="BS83" s="373"/>
      <c r="BT83" s="373">
        <f>SUM(BT84:BT84)</f>
        <v>0</v>
      </c>
      <c r="BU83" s="373"/>
      <c r="BV83" s="373"/>
      <c r="BW83" s="9"/>
      <c r="BX83" s="10"/>
      <c r="BY83" s="10"/>
    </row>
    <row r="84" spans="4:77" ht="12.75" hidden="1" customHeight="1" x14ac:dyDescent="0.2">
      <c r="D84" s="9" t="s">
        <v>343</v>
      </c>
      <c r="E84" s="156"/>
      <c r="F84" s="378"/>
      <c r="G84" s="379">
        <v>0</v>
      </c>
      <c r="H84" s="380"/>
      <c r="I84" s="373"/>
      <c r="J84" s="374"/>
      <c r="K84" s="381"/>
      <c r="L84" s="379">
        <v>0</v>
      </c>
      <c r="M84" s="380"/>
      <c r="N84" s="373"/>
      <c r="O84" s="374"/>
      <c r="P84" s="381"/>
      <c r="Q84" s="379">
        <v>0</v>
      </c>
      <c r="R84" s="380"/>
      <c r="S84" s="373"/>
      <c r="T84" s="374"/>
      <c r="U84" s="381"/>
      <c r="V84" s="379">
        <v>0</v>
      </c>
      <c r="W84" s="380"/>
      <c r="X84" s="373"/>
      <c r="Y84" s="374"/>
      <c r="Z84" s="381"/>
      <c r="AA84" s="379">
        <v>0</v>
      </c>
      <c r="AB84" s="380"/>
      <c r="AC84" s="373"/>
      <c r="AD84" s="374"/>
      <c r="AE84" s="381"/>
      <c r="AF84" s="379">
        <v>0</v>
      </c>
      <c r="AG84" s="380"/>
      <c r="AH84" s="373"/>
      <c r="AI84" s="374"/>
      <c r="AJ84" s="381"/>
      <c r="AK84" s="379">
        <v>0</v>
      </c>
      <c r="AL84" s="380"/>
      <c r="AM84" s="373"/>
      <c r="AN84" s="374"/>
      <c r="AO84" s="381"/>
      <c r="AP84" s="379">
        <v>0</v>
      </c>
      <c r="AQ84" s="380"/>
      <c r="AR84" s="373"/>
      <c r="AS84" s="374"/>
      <c r="AT84" s="381"/>
      <c r="AU84" s="379">
        <v>0</v>
      </c>
      <c r="AV84" s="380"/>
      <c r="AW84" s="373"/>
      <c r="AX84" s="374"/>
      <c r="AY84" s="381"/>
      <c r="AZ84" s="379">
        <v>0</v>
      </c>
      <c r="BA84" s="380"/>
      <c r="BB84" s="373"/>
      <c r="BC84" s="374"/>
      <c r="BD84" s="381"/>
      <c r="BE84" s="379">
        <v>0</v>
      </c>
      <c r="BF84" s="380"/>
      <c r="BG84" s="373"/>
      <c r="BH84" s="374"/>
      <c r="BI84" s="381"/>
      <c r="BJ84" s="379">
        <v>0</v>
      </c>
      <c r="BK84" s="380"/>
      <c r="BL84" s="373"/>
      <c r="BM84" s="374"/>
      <c r="BN84" s="381"/>
      <c r="BO84" s="379">
        <v>0</v>
      </c>
      <c r="BP84" s="380"/>
      <c r="BQ84" s="373"/>
      <c r="BR84" s="374"/>
      <c r="BS84" s="381"/>
      <c r="BT84" s="379">
        <f>SUM(L84:BO84)</f>
        <v>0</v>
      </c>
      <c r="BU84" s="380"/>
      <c r="BV84" s="373"/>
      <c r="BW84" s="9"/>
      <c r="BX84" s="10"/>
      <c r="BY84" s="10"/>
    </row>
    <row r="85" spans="4:77" hidden="1" x14ac:dyDescent="0.2">
      <c r="D85" s="9"/>
      <c r="E85" s="156"/>
      <c r="G85" s="373"/>
      <c r="H85" s="373"/>
      <c r="I85" s="373"/>
      <c r="J85" s="374"/>
      <c r="K85" s="373"/>
      <c r="L85" s="373"/>
      <c r="M85" s="373"/>
      <c r="N85" s="373"/>
      <c r="O85" s="374"/>
      <c r="P85" s="373"/>
      <c r="Q85" s="373"/>
      <c r="R85" s="373"/>
      <c r="S85" s="373"/>
      <c r="T85" s="374"/>
      <c r="U85" s="373"/>
      <c r="V85" s="373"/>
      <c r="W85" s="373"/>
      <c r="X85" s="373"/>
      <c r="Y85" s="374"/>
      <c r="Z85" s="373"/>
      <c r="AA85" s="373"/>
      <c r="AB85" s="373"/>
      <c r="AC85" s="373"/>
      <c r="AD85" s="374"/>
      <c r="AE85" s="373"/>
      <c r="AF85" s="373"/>
      <c r="AG85" s="373"/>
      <c r="AH85" s="373"/>
      <c r="AI85" s="374"/>
      <c r="AJ85" s="373"/>
      <c r="AK85" s="373"/>
      <c r="AL85" s="373"/>
      <c r="AM85" s="373"/>
      <c r="AN85" s="374"/>
      <c r="AO85" s="373"/>
      <c r="AP85" s="373"/>
      <c r="AQ85" s="373"/>
      <c r="AR85" s="373"/>
      <c r="AS85" s="374"/>
      <c r="AT85" s="373"/>
      <c r="AU85" s="373"/>
      <c r="AV85" s="373"/>
      <c r="AW85" s="373"/>
      <c r="AX85" s="374"/>
      <c r="AY85" s="373"/>
      <c r="AZ85" s="373"/>
      <c r="BA85" s="373"/>
      <c r="BB85" s="373"/>
      <c r="BC85" s="374"/>
      <c r="BD85" s="373"/>
      <c r="BE85" s="373"/>
      <c r="BF85" s="373"/>
      <c r="BG85" s="373"/>
      <c r="BH85" s="374"/>
      <c r="BI85" s="373"/>
      <c r="BJ85" s="373"/>
      <c r="BK85" s="373"/>
      <c r="BL85" s="373"/>
      <c r="BM85" s="374"/>
      <c r="BN85" s="373"/>
      <c r="BO85" s="373"/>
      <c r="BP85" s="373"/>
      <c r="BQ85" s="373"/>
      <c r="BR85" s="374"/>
      <c r="BS85" s="373"/>
      <c r="BT85" s="373"/>
      <c r="BU85" s="373"/>
      <c r="BV85" s="373"/>
      <c r="BW85" s="9"/>
      <c r="BX85" s="10"/>
      <c r="BY85" s="10"/>
    </row>
    <row r="86" spans="4:77" hidden="1" x14ac:dyDescent="0.2">
      <c r="D86" s="9" t="s">
        <v>356</v>
      </c>
      <c r="E86" s="156"/>
      <c r="G86" s="373">
        <f>SUM(G87:G87)</f>
        <v>0</v>
      </c>
      <c r="H86" s="373"/>
      <c r="I86" s="373"/>
      <c r="J86" s="374"/>
      <c r="L86" s="373">
        <f>SUM(L87:L87)</f>
        <v>0</v>
      </c>
      <c r="M86" s="373"/>
      <c r="N86" s="373"/>
      <c r="O86" s="374"/>
      <c r="P86" s="373"/>
      <c r="Q86" s="373">
        <f>SUM(Q87:Q87)</f>
        <v>0</v>
      </c>
      <c r="R86" s="373"/>
      <c r="S86" s="373"/>
      <c r="T86" s="374"/>
      <c r="U86" s="373"/>
      <c r="V86" s="373">
        <f>SUM(V87:V87)</f>
        <v>0</v>
      </c>
      <c r="W86" s="373"/>
      <c r="X86" s="373"/>
      <c r="Y86" s="374"/>
      <c r="Z86" s="373"/>
      <c r="AA86" s="373">
        <f>SUM(AA87:AA87)</f>
        <v>0</v>
      </c>
      <c r="AB86" s="373"/>
      <c r="AC86" s="373"/>
      <c r="AD86" s="374"/>
      <c r="AE86" s="373"/>
      <c r="AF86" s="373">
        <f>SUM(AF87:AF87)</f>
        <v>0</v>
      </c>
      <c r="AG86" s="373"/>
      <c r="AH86" s="373"/>
      <c r="AI86" s="374"/>
      <c r="AJ86" s="373"/>
      <c r="AK86" s="373">
        <f>SUM(AK87:AK87)</f>
        <v>0</v>
      </c>
      <c r="AL86" s="373"/>
      <c r="AM86" s="373"/>
      <c r="AN86" s="374"/>
      <c r="AO86" s="373"/>
      <c r="AP86" s="373">
        <f>SUM(AP87:AP87)</f>
        <v>0</v>
      </c>
      <c r="AQ86" s="373"/>
      <c r="AR86" s="373"/>
      <c r="AS86" s="374"/>
      <c r="AT86" s="373"/>
      <c r="AU86" s="373">
        <f>SUM(AU87:AU87)</f>
        <v>0</v>
      </c>
      <c r="AV86" s="373"/>
      <c r="AW86" s="373"/>
      <c r="AX86" s="374"/>
      <c r="AY86" s="373"/>
      <c r="AZ86" s="373">
        <f>SUM(AZ87:AZ87)</f>
        <v>0</v>
      </c>
      <c r="BA86" s="373"/>
      <c r="BB86" s="373"/>
      <c r="BC86" s="374"/>
      <c r="BD86" s="373"/>
      <c r="BE86" s="373">
        <f>SUM(BE87:BE87)</f>
        <v>0</v>
      </c>
      <c r="BF86" s="373"/>
      <c r="BG86" s="373"/>
      <c r="BH86" s="374"/>
      <c r="BI86" s="373"/>
      <c r="BJ86" s="373">
        <f>SUM(BJ87:BJ87)</f>
        <v>0</v>
      </c>
      <c r="BK86" s="373"/>
      <c r="BL86" s="373"/>
      <c r="BM86" s="374"/>
      <c r="BN86" s="373"/>
      <c r="BO86" s="373">
        <f>SUM(BO87:BO87)</f>
        <v>0</v>
      </c>
      <c r="BP86" s="373"/>
      <c r="BQ86" s="373"/>
      <c r="BR86" s="374"/>
      <c r="BT86" s="373">
        <f>SUM(BT87:BT87)</f>
        <v>0</v>
      </c>
      <c r="BU86" s="373"/>
      <c r="BV86" s="373"/>
      <c r="BW86" s="9"/>
      <c r="BX86" s="10"/>
      <c r="BY86" s="10"/>
    </row>
    <row r="87" spans="4:77" hidden="1" x14ac:dyDescent="0.2">
      <c r="D87" s="9" t="s">
        <v>343</v>
      </c>
      <c r="E87" s="156"/>
      <c r="F87" s="378"/>
      <c r="G87" s="379">
        <v>0</v>
      </c>
      <c r="H87" s="380"/>
      <c r="I87" s="373"/>
      <c r="J87" s="374"/>
      <c r="K87" s="378"/>
      <c r="L87" s="379">
        <v>0</v>
      </c>
      <c r="M87" s="380"/>
      <c r="N87" s="373"/>
      <c r="O87" s="374"/>
      <c r="P87" s="381"/>
      <c r="Q87" s="379">
        <v>0</v>
      </c>
      <c r="R87" s="380"/>
      <c r="S87" s="373"/>
      <c r="T87" s="374"/>
      <c r="U87" s="381"/>
      <c r="V87" s="379">
        <v>0</v>
      </c>
      <c r="W87" s="380"/>
      <c r="X87" s="373"/>
      <c r="Y87" s="374"/>
      <c r="Z87" s="381"/>
      <c r="AA87" s="379">
        <v>0</v>
      </c>
      <c r="AB87" s="380"/>
      <c r="AC87" s="373"/>
      <c r="AD87" s="374"/>
      <c r="AE87" s="381"/>
      <c r="AF87" s="379">
        <v>0</v>
      </c>
      <c r="AG87" s="380"/>
      <c r="AH87" s="373"/>
      <c r="AI87" s="374"/>
      <c r="AJ87" s="381"/>
      <c r="AK87" s="379">
        <v>0</v>
      </c>
      <c r="AL87" s="380"/>
      <c r="AM87" s="373"/>
      <c r="AN87" s="374"/>
      <c r="AO87" s="381"/>
      <c r="AP87" s="379">
        <v>0</v>
      </c>
      <c r="AQ87" s="380"/>
      <c r="AR87" s="373"/>
      <c r="AS87" s="374"/>
      <c r="AT87" s="381"/>
      <c r="AU87" s="379">
        <v>0</v>
      </c>
      <c r="AV87" s="380"/>
      <c r="AW87" s="373"/>
      <c r="AX87" s="374"/>
      <c r="AY87" s="381"/>
      <c r="AZ87" s="379">
        <v>0</v>
      </c>
      <c r="BA87" s="380"/>
      <c r="BB87" s="373"/>
      <c r="BC87" s="374"/>
      <c r="BD87" s="381"/>
      <c r="BE87" s="379">
        <v>0</v>
      </c>
      <c r="BF87" s="380"/>
      <c r="BG87" s="373"/>
      <c r="BH87" s="374"/>
      <c r="BI87" s="381"/>
      <c r="BJ87" s="379">
        <v>0</v>
      </c>
      <c r="BK87" s="380"/>
      <c r="BL87" s="373"/>
      <c r="BM87" s="374"/>
      <c r="BN87" s="381"/>
      <c r="BO87" s="379">
        <v>0</v>
      </c>
      <c r="BP87" s="380"/>
      <c r="BQ87" s="373"/>
      <c r="BR87" s="374"/>
      <c r="BS87" s="381"/>
      <c r="BT87" s="379">
        <f>SUM(L87:BO87)</f>
        <v>0</v>
      </c>
      <c r="BU87" s="380"/>
      <c r="BV87" s="373"/>
      <c r="BW87" s="9"/>
      <c r="BX87" s="10"/>
      <c r="BY87" s="10"/>
    </row>
    <row r="88" spans="4:77" x14ac:dyDescent="0.2">
      <c r="D88" s="9"/>
      <c r="E88" s="156"/>
      <c r="G88" s="373"/>
      <c r="H88" s="373"/>
      <c r="I88" s="373"/>
      <c r="J88" s="374"/>
      <c r="K88" s="373"/>
      <c r="L88" s="373"/>
      <c r="M88" s="373"/>
      <c r="N88" s="373"/>
      <c r="O88" s="374"/>
      <c r="P88" s="373"/>
      <c r="Q88" s="373"/>
      <c r="R88" s="373"/>
      <c r="S88" s="373"/>
      <c r="T88" s="374"/>
      <c r="U88" s="373"/>
      <c r="V88" s="373"/>
      <c r="W88" s="373"/>
      <c r="X88" s="373"/>
      <c r="Y88" s="374"/>
      <c r="Z88" s="373"/>
      <c r="AA88" s="373"/>
      <c r="AB88" s="373"/>
      <c r="AC88" s="373"/>
      <c r="AD88" s="374"/>
      <c r="AE88" s="373"/>
      <c r="AF88" s="373"/>
      <c r="AG88" s="373"/>
      <c r="AH88" s="373"/>
      <c r="AI88" s="374"/>
      <c r="AJ88" s="373"/>
      <c r="AK88" s="373"/>
      <c r="AL88" s="373"/>
      <c r="AM88" s="373"/>
      <c r="AN88" s="374"/>
      <c r="AO88" s="373"/>
      <c r="AP88" s="373"/>
      <c r="AQ88" s="373"/>
      <c r="AR88" s="373"/>
      <c r="AS88" s="374"/>
      <c r="AT88" s="373"/>
      <c r="AU88" s="373"/>
      <c r="AV88" s="373"/>
      <c r="AW88" s="373"/>
      <c r="AX88" s="374"/>
      <c r="AY88" s="373"/>
      <c r="AZ88" s="373"/>
      <c r="BA88" s="373"/>
      <c r="BB88" s="373"/>
      <c r="BC88" s="374"/>
      <c r="BD88" s="373"/>
      <c r="BE88" s="373"/>
      <c r="BF88" s="373"/>
      <c r="BG88" s="373"/>
      <c r="BH88" s="374"/>
      <c r="BI88" s="373"/>
      <c r="BJ88" s="373"/>
      <c r="BK88" s="373"/>
      <c r="BL88" s="373"/>
      <c r="BM88" s="374"/>
      <c r="BN88" s="373"/>
      <c r="BO88" s="373"/>
      <c r="BP88" s="373"/>
      <c r="BQ88" s="373"/>
      <c r="BR88" s="374"/>
      <c r="BS88" s="373"/>
      <c r="BT88" s="373"/>
      <c r="BU88" s="373"/>
      <c r="BV88" s="373"/>
      <c r="BW88" s="9"/>
      <c r="BX88" s="10"/>
      <c r="BY88" s="10"/>
    </row>
    <row r="89" spans="4:77" hidden="1" x14ac:dyDescent="0.2">
      <c r="D89" s="9" t="str">
        <f>[54]domlongtermissues!D312:D312</f>
        <v xml:space="preserve">  R2037  (8.50%  2037/01/31)</v>
      </c>
      <c r="E89" s="156"/>
      <c r="G89" s="373">
        <f>SUM(G90:G90)</f>
        <v>0</v>
      </c>
      <c r="H89" s="373"/>
      <c r="I89" s="373"/>
      <c r="J89" s="374"/>
      <c r="K89" s="373"/>
      <c r="L89" s="373">
        <f>SUM(L90:L90)</f>
        <v>0</v>
      </c>
      <c r="M89" s="373"/>
      <c r="N89" s="373"/>
      <c r="O89" s="374"/>
      <c r="P89" s="373"/>
      <c r="Q89" s="373">
        <f>SUM(Q90:Q90)</f>
        <v>0</v>
      </c>
      <c r="R89" s="373"/>
      <c r="S89" s="373"/>
      <c r="T89" s="374"/>
      <c r="U89" s="373"/>
      <c r="V89" s="373">
        <f>SUM(V90:V90)</f>
        <v>0</v>
      </c>
      <c r="W89" s="373"/>
      <c r="X89" s="373"/>
      <c r="Y89" s="374"/>
      <c r="Z89" s="373"/>
      <c r="AA89" s="373">
        <f>SUM(AA90:AA90)</f>
        <v>0</v>
      </c>
      <c r="AB89" s="373"/>
      <c r="AC89" s="373"/>
      <c r="AD89" s="374"/>
      <c r="AE89" s="373"/>
      <c r="AF89" s="373">
        <f>SUM(AF90:AF90)</f>
        <v>0</v>
      </c>
      <c r="AG89" s="373"/>
      <c r="AH89" s="373"/>
      <c r="AI89" s="374"/>
      <c r="AJ89" s="373"/>
      <c r="AK89" s="373">
        <f>SUM(AK90:AK90)</f>
        <v>0</v>
      </c>
      <c r="AL89" s="373"/>
      <c r="AM89" s="373"/>
      <c r="AN89" s="374"/>
      <c r="AO89" s="373"/>
      <c r="AP89" s="373">
        <f>SUM(AP90:AP90)</f>
        <v>0</v>
      </c>
      <c r="AQ89" s="373"/>
      <c r="AR89" s="373"/>
      <c r="AS89" s="374"/>
      <c r="AT89" s="373"/>
      <c r="AU89" s="373">
        <f>SUM(AU90:AU90)</f>
        <v>0</v>
      </c>
      <c r="AV89" s="373"/>
      <c r="AW89" s="373"/>
      <c r="AX89" s="374"/>
      <c r="AY89" s="373"/>
      <c r="AZ89" s="373">
        <f>SUM(AZ90:AZ90)</f>
        <v>0</v>
      </c>
      <c r="BA89" s="373"/>
      <c r="BB89" s="373"/>
      <c r="BC89" s="374"/>
      <c r="BD89" s="373"/>
      <c r="BE89" s="373">
        <f>SUM(BE90:BE90)</f>
        <v>0</v>
      </c>
      <c r="BF89" s="373"/>
      <c r="BG89" s="373"/>
      <c r="BH89" s="374"/>
      <c r="BI89" s="373"/>
      <c r="BJ89" s="373">
        <f>SUM(BJ90:BJ90)</f>
        <v>0</v>
      </c>
      <c r="BK89" s="373"/>
      <c r="BL89" s="373"/>
      <c r="BM89" s="374"/>
      <c r="BN89" s="373"/>
      <c r="BO89" s="373">
        <f>SUM(BO90:BO90)</f>
        <v>0</v>
      </c>
      <c r="BP89" s="373"/>
      <c r="BQ89" s="373"/>
      <c r="BR89" s="374"/>
      <c r="BS89" s="373"/>
      <c r="BT89" s="373">
        <f>SUM(BT90:BT90)</f>
        <v>0</v>
      </c>
      <c r="BU89" s="373"/>
      <c r="BV89" s="373"/>
      <c r="BW89" s="9"/>
      <c r="BX89" s="10"/>
      <c r="BY89" s="10"/>
    </row>
    <row r="90" spans="4:77" hidden="1" x14ac:dyDescent="0.2">
      <c r="D90" s="9" t="s">
        <v>343</v>
      </c>
      <c r="E90" s="156"/>
      <c r="F90" s="378"/>
      <c r="G90" s="379">
        <v>0</v>
      </c>
      <c r="H90" s="380"/>
      <c r="I90" s="373"/>
      <c r="J90" s="374"/>
      <c r="K90" s="381"/>
      <c r="L90" s="379">
        <v>0</v>
      </c>
      <c r="M90" s="380"/>
      <c r="N90" s="373"/>
      <c r="O90" s="374"/>
      <c r="P90" s="381"/>
      <c r="Q90" s="379">
        <v>0</v>
      </c>
      <c r="R90" s="380"/>
      <c r="S90" s="373"/>
      <c r="T90" s="374"/>
      <c r="U90" s="381"/>
      <c r="V90" s="379">
        <v>0</v>
      </c>
      <c r="W90" s="380"/>
      <c r="X90" s="373"/>
      <c r="Y90" s="374"/>
      <c r="Z90" s="381"/>
      <c r="AA90" s="379">
        <v>0</v>
      </c>
      <c r="AB90" s="380"/>
      <c r="AC90" s="373"/>
      <c r="AD90" s="374"/>
      <c r="AE90" s="381"/>
      <c r="AF90" s="379">
        <v>0</v>
      </c>
      <c r="AG90" s="380"/>
      <c r="AH90" s="373"/>
      <c r="AI90" s="374"/>
      <c r="AJ90" s="381"/>
      <c r="AK90" s="379">
        <v>0</v>
      </c>
      <c r="AL90" s="380"/>
      <c r="AM90" s="373"/>
      <c r="AN90" s="374"/>
      <c r="AO90" s="381"/>
      <c r="AP90" s="379">
        <v>0</v>
      </c>
      <c r="AQ90" s="380"/>
      <c r="AR90" s="373"/>
      <c r="AS90" s="374"/>
      <c r="AT90" s="381"/>
      <c r="AU90" s="379">
        <v>0</v>
      </c>
      <c r="AV90" s="380"/>
      <c r="AW90" s="373"/>
      <c r="AX90" s="374"/>
      <c r="AY90" s="381"/>
      <c r="AZ90" s="379">
        <v>0</v>
      </c>
      <c r="BA90" s="380"/>
      <c r="BB90" s="373"/>
      <c r="BC90" s="374"/>
      <c r="BD90" s="381"/>
      <c r="BE90" s="379">
        <v>0</v>
      </c>
      <c r="BF90" s="380"/>
      <c r="BG90" s="373"/>
      <c r="BH90" s="374"/>
      <c r="BI90" s="381"/>
      <c r="BJ90" s="379">
        <v>0</v>
      </c>
      <c r="BK90" s="380"/>
      <c r="BL90" s="373"/>
      <c r="BM90" s="374"/>
      <c r="BN90" s="381"/>
      <c r="BO90" s="379">
        <v>0</v>
      </c>
      <c r="BP90" s="380"/>
      <c r="BQ90" s="373"/>
      <c r="BR90" s="374"/>
      <c r="BS90" s="381"/>
      <c r="BT90" s="379">
        <f>SUM(L90:BO90)</f>
        <v>0</v>
      </c>
      <c r="BU90" s="380"/>
      <c r="BV90" s="373"/>
      <c r="BW90" s="9"/>
      <c r="BX90" s="10"/>
      <c r="BY90" s="10"/>
    </row>
    <row r="91" spans="4:77" hidden="1" x14ac:dyDescent="0.2">
      <c r="D91" s="9"/>
      <c r="E91" s="156"/>
      <c r="G91" s="373"/>
      <c r="H91" s="373"/>
      <c r="I91" s="373"/>
      <c r="J91" s="374"/>
      <c r="K91" s="373"/>
      <c r="L91" s="373"/>
      <c r="M91" s="373"/>
      <c r="N91" s="373"/>
      <c r="O91" s="374"/>
      <c r="P91" s="373"/>
      <c r="Q91" s="373"/>
      <c r="R91" s="373"/>
      <c r="S91" s="373"/>
      <c r="T91" s="374"/>
      <c r="U91" s="373"/>
      <c r="V91" s="373"/>
      <c r="W91" s="373"/>
      <c r="X91" s="373"/>
      <c r="Y91" s="374"/>
      <c r="Z91" s="373"/>
      <c r="AA91" s="373"/>
      <c r="AB91" s="373"/>
      <c r="AC91" s="373"/>
      <c r="AD91" s="374"/>
      <c r="AE91" s="373"/>
      <c r="AF91" s="373"/>
      <c r="AG91" s="373"/>
      <c r="AH91" s="373"/>
      <c r="AI91" s="374"/>
      <c r="AJ91" s="373"/>
      <c r="AK91" s="373"/>
      <c r="AL91" s="373"/>
      <c r="AM91" s="373"/>
      <c r="AN91" s="374"/>
      <c r="AO91" s="373"/>
      <c r="AP91" s="373"/>
      <c r="AQ91" s="373"/>
      <c r="AR91" s="373"/>
      <c r="AS91" s="374"/>
      <c r="AT91" s="373"/>
      <c r="AU91" s="373"/>
      <c r="AV91" s="373"/>
      <c r="AW91" s="373"/>
      <c r="AX91" s="374"/>
      <c r="AY91" s="373"/>
      <c r="AZ91" s="373"/>
      <c r="BA91" s="373"/>
      <c r="BB91" s="373"/>
      <c r="BC91" s="374"/>
      <c r="BD91" s="373"/>
      <c r="BE91" s="373"/>
      <c r="BF91" s="373"/>
      <c r="BG91" s="373"/>
      <c r="BH91" s="374"/>
      <c r="BI91" s="373"/>
      <c r="BJ91" s="373"/>
      <c r="BK91" s="373"/>
      <c r="BL91" s="373"/>
      <c r="BM91" s="374"/>
      <c r="BN91" s="373"/>
      <c r="BO91" s="373"/>
      <c r="BP91" s="373"/>
      <c r="BQ91" s="373"/>
      <c r="BR91" s="374"/>
      <c r="BS91" s="373"/>
      <c r="BT91" s="373"/>
      <c r="BU91" s="373"/>
      <c r="BV91" s="373"/>
      <c r="BW91" s="9"/>
      <c r="BX91" s="10"/>
      <c r="BY91" s="10"/>
    </row>
    <row r="92" spans="4:77" hidden="1" x14ac:dyDescent="0.2">
      <c r="D92" s="9" t="str">
        <f>[54]domlongtermissues!D309</f>
        <v xml:space="preserve">  R210 (2.60%  2028/03/31)</v>
      </c>
      <c r="E92" s="156"/>
      <c r="G92" s="373">
        <f>SUM(G93:G93)</f>
        <v>0</v>
      </c>
      <c r="H92" s="373"/>
      <c r="I92" s="373"/>
      <c r="J92" s="374"/>
      <c r="K92" s="373"/>
      <c r="L92" s="373">
        <f>SUM(L93:L93)</f>
        <v>0</v>
      </c>
      <c r="M92" s="373"/>
      <c r="N92" s="373"/>
      <c r="O92" s="374"/>
      <c r="P92" s="373"/>
      <c r="Q92" s="373">
        <f>SUM(Q93:Q93)</f>
        <v>0</v>
      </c>
      <c r="R92" s="373"/>
      <c r="S92" s="373"/>
      <c r="T92" s="374"/>
      <c r="U92" s="373"/>
      <c r="V92" s="373">
        <f>SUM(V93:V93)</f>
        <v>0</v>
      </c>
      <c r="W92" s="373"/>
      <c r="X92" s="373"/>
      <c r="Y92" s="374"/>
      <c r="Z92" s="373"/>
      <c r="AA92" s="373">
        <f>SUM(AA93:AA93)</f>
        <v>0</v>
      </c>
      <c r="AB92" s="373"/>
      <c r="AC92" s="373"/>
      <c r="AD92" s="374"/>
      <c r="AE92" s="373"/>
      <c r="AF92" s="373">
        <f>SUM(AF93:AF93)</f>
        <v>0</v>
      </c>
      <c r="AG92" s="373"/>
      <c r="AH92" s="373"/>
      <c r="AI92" s="374"/>
      <c r="AJ92" s="373"/>
      <c r="AK92" s="373">
        <f>SUM(AK93:AK93)</f>
        <v>0</v>
      </c>
      <c r="AL92" s="373"/>
      <c r="AM92" s="373"/>
      <c r="AN92" s="374"/>
      <c r="AO92" s="373"/>
      <c r="AP92" s="373">
        <f>SUM(AP93:AP93)</f>
        <v>0</v>
      </c>
      <c r="AQ92" s="373"/>
      <c r="AR92" s="373"/>
      <c r="AS92" s="374"/>
      <c r="AT92" s="373"/>
      <c r="AU92" s="373">
        <f>SUM(AU93:AU93)</f>
        <v>0</v>
      </c>
      <c r="AV92" s="373"/>
      <c r="AW92" s="373"/>
      <c r="AX92" s="374"/>
      <c r="AY92" s="373"/>
      <c r="AZ92" s="373">
        <f>SUM(AZ93:AZ93)</f>
        <v>0</v>
      </c>
      <c r="BA92" s="373"/>
      <c r="BB92" s="373"/>
      <c r="BC92" s="374"/>
      <c r="BD92" s="373"/>
      <c r="BE92" s="373">
        <f>SUM(BE93:BE93)</f>
        <v>0</v>
      </c>
      <c r="BF92" s="373"/>
      <c r="BG92" s="373"/>
      <c r="BH92" s="374"/>
      <c r="BI92" s="373"/>
      <c r="BJ92" s="373">
        <f>SUM(BJ93:BJ93)</f>
        <v>0</v>
      </c>
      <c r="BK92" s="373"/>
      <c r="BL92" s="373"/>
      <c r="BM92" s="374"/>
      <c r="BN92" s="373"/>
      <c r="BO92" s="373">
        <f>SUM(BO93:BO93)</f>
        <v>0</v>
      </c>
      <c r="BP92" s="373"/>
      <c r="BQ92" s="373"/>
      <c r="BR92" s="374"/>
      <c r="BS92" s="373"/>
      <c r="BT92" s="373">
        <f>SUM(BT93:BT93)</f>
        <v>0</v>
      </c>
      <c r="BU92" s="373"/>
      <c r="BV92" s="373"/>
      <c r="BW92" s="9"/>
      <c r="BX92" s="10"/>
      <c r="BY92" s="10"/>
    </row>
    <row r="93" spans="4:77" hidden="1" x14ac:dyDescent="0.2">
      <c r="D93" s="9" t="s">
        <v>343</v>
      </c>
      <c r="E93" s="156"/>
      <c r="F93" s="378"/>
      <c r="G93" s="379">
        <v>0</v>
      </c>
      <c r="H93" s="380"/>
      <c r="I93" s="373"/>
      <c r="J93" s="374"/>
      <c r="K93" s="381"/>
      <c r="L93" s="379">
        <v>0</v>
      </c>
      <c r="M93" s="380"/>
      <c r="N93" s="373"/>
      <c r="O93" s="374"/>
      <c r="P93" s="381"/>
      <c r="Q93" s="379">
        <v>0</v>
      </c>
      <c r="R93" s="380"/>
      <c r="S93" s="373"/>
      <c r="T93" s="374"/>
      <c r="U93" s="381"/>
      <c r="V93" s="379">
        <v>0</v>
      </c>
      <c r="W93" s="380"/>
      <c r="X93" s="373"/>
      <c r="Y93" s="374"/>
      <c r="Z93" s="381"/>
      <c r="AA93" s="379">
        <v>0</v>
      </c>
      <c r="AB93" s="380"/>
      <c r="AC93" s="373"/>
      <c r="AD93" s="374"/>
      <c r="AE93" s="381"/>
      <c r="AF93" s="379">
        <v>0</v>
      </c>
      <c r="AG93" s="380"/>
      <c r="AH93" s="373"/>
      <c r="AI93" s="374"/>
      <c r="AJ93" s="381"/>
      <c r="AK93" s="379">
        <v>0</v>
      </c>
      <c r="AL93" s="380"/>
      <c r="AM93" s="373"/>
      <c r="AN93" s="374"/>
      <c r="AO93" s="381"/>
      <c r="AP93" s="379">
        <v>0</v>
      </c>
      <c r="AQ93" s="380"/>
      <c r="AR93" s="373"/>
      <c r="AS93" s="374"/>
      <c r="AT93" s="381"/>
      <c r="AU93" s="379">
        <v>0</v>
      </c>
      <c r="AV93" s="380"/>
      <c r="AW93" s="373"/>
      <c r="AX93" s="374"/>
      <c r="AY93" s="381"/>
      <c r="AZ93" s="379">
        <v>0</v>
      </c>
      <c r="BA93" s="380"/>
      <c r="BB93" s="373"/>
      <c r="BC93" s="374"/>
      <c r="BD93" s="381"/>
      <c r="BE93" s="379">
        <v>0</v>
      </c>
      <c r="BF93" s="380"/>
      <c r="BG93" s="373"/>
      <c r="BH93" s="374"/>
      <c r="BI93" s="381"/>
      <c r="BJ93" s="379">
        <v>0</v>
      </c>
      <c r="BK93" s="380"/>
      <c r="BL93" s="373"/>
      <c r="BM93" s="374"/>
      <c r="BN93" s="381"/>
      <c r="BO93" s="379">
        <v>0</v>
      </c>
      <c r="BP93" s="380"/>
      <c r="BQ93" s="373"/>
      <c r="BR93" s="374"/>
      <c r="BS93" s="381"/>
      <c r="BT93" s="379">
        <f>SUM(L93:BO93)</f>
        <v>0</v>
      </c>
      <c r="BU93" s="380"/>
      <c r="BV93" s="373"/>
      <c r="BW93" s="9"/>
      <c r="BX93" s="10"/>
      <c r="BY93" s="10"/>
    </row>
    <row r="94" spans="4:77" hidden="1" x14ac:dyDescent="0.2">
      <c r="D94" s="9"/>
      <c r="E94" s="156"/>
      <c r="G94" s="373"/>
      <c r="H94" s="373"/>
      <c r="I94" s="373"/>
      <c r="J94" s="374"/>
      <c r="K94" s="373"/>
      <c r="L94" s="373"/>
      <c r="M94" s="373"/>
      <c r="N94" s="373"/>
      <c r="O94" s="374"/>
      <c r="P94" s="373"/>
      <c r="Q94" s="373"/>
      <c r="R94" s="373"/>
      <c r="S94" s="373"/>
      <c r="T94" s="374"/>
      <c r="U94" s="373"/>
      <c r="V94" s="373"/>
      <c r="W94" s="373"/>
      <c r="X94" s="373"/>
      <c r="Y94" s="374"/>
      <c r="Z94" s="373"/>
      <c r="AA94" s="373"/>
      <c r="AB94" s="373"/>
      <c r="AC94" s="373"/>
      <c r="AD94" s="374"/>
      <c r="AE94" s="373"/>
      <c r="AF94" s="373"/>
      <c r="AG94" s="373"/>
      <c r="AH94" s="373"/>
      <c r="AI94" s="374"/>
      <c r="AJ94" s="373"/>
      <c r="AK94" s="373"/>
      <c r="AL94" s="373"/>
      <c r="AM94" s="373"/>
      <c r="AN94" s="374"/>
      <c r="AO94" s="373"/>
      <c r="AP94" s="373"/>
      <c r="AQ94" s="373"/>
      <c r="AR94" s="373"/>
      <c r="AS94" s="374"/>
      <c r="AT94" s="373"/>
      <c r="AU94" s="373"/>
      <c r="AV94" s="373"/>
      <c r="AW94" s="373"/>
      <c r="AX94" s="374"/>
      <c r="AY94" s="373"/>
      <c r="AZ94" s="373"/>
      <c r="BA94" s="373"/>
      <c r="BB94" s="373"/>
      <c r="BC94" s="374"/>
      <c r="BD94" s="373"/>
      <c r="BE94" s="373"/>
      <c r="BF94" s="373"/>
      <c r="BG94" s="373"/>
      <c r="BH94" s="374"/>
      <c r="BI94" s="373"/>
      <c r="BJ94" s="373"/>
      <c r="BK94" s="373"/>
      <c r="BL94" s="373"/>
      <c r="BM94" s="374"/>
      <c r="BN94" s="373"/>
      <c r="BO94" s="373"/>
      <c r="BP94" s="373"/>
      <c r="BQ94" s="373"/>
      <c r="BR94" s="374"/>
      <c r="BS94" s="373"/>
      <c r="BT94" s="373"/>
      <c r="BU94" s="373"/>
      <c r="BV94" s="373"/>
      <c r="BW94" s="9"/>
      <c r="BX94" s="10"/>
      <c r="BY94" s="10"/>
    </row>
    <row r="95" spans="4:77" ht="12.75" hidden="1" customHeight="1" x14ac:dyDescent="0.2">
      <c r="D95" s="383" t="s">
        <v>408</v>
      </c>
      <c r="E95" s="156"/>
      <c r="G95" s="373">
        <f>SUM(G96:G96)</f>
        <v>0</v>
      </c>
      <c r="H95" s="368"/>
      <c r="I95" s="368"/>
      <c r="J95" s="369"/>
      <c r="K95" s="368"/>
      <c r="L95" s="373">
        <f>SUM(L96:L96)</f>
        <v>0</v>
      </c>
      <c r="M95" s="373"/>
      <c r="N95" s="373"/>
      <c r="O95" s="374"/>
      <c r="P95" s="373"/>
      <c r="Q95" s="373">
        <f>SUM(Q96:Q96)</f>
        <v>0</v>
      </c>
      <c r="R95" s="373"/>
      <c r="S95" s="373"/>
      <c r="T95" s="374"/>
      <c r="U95" s="373"/>
      <c r="V95" s="373">
        <f>SUM(V96:V96)</f>
        <v>0</v>
      </c>
      <c r="W95" s="373"/>
      <c r="X95" s="373"/>
      <c r="Y95" s="374"/>
      <c r="Z95" s="373"/>
      <c r="AA95" s="373">
        <f>SUM(AA96:AA96)</f>
        <v>0</v>
      </c>
      <c r="AB95" s="373"/>
      <c r="AC95" s="373"/>
      <c r="AD95" s="374"/>
      <c r="AE95" s="373"/>
      <c r="AF95" s="373">
        <f>SUM(AF96:AF96)</f>
        <v>0</v>
      </c>
      <c r="AG95" s="373"/>
      <c r="AH95" s="373"/>
      <c r="AI95" s="374"/>
      <c r="AJ95" s="373"/>
      <c r="AK95" s="373">
        <f>SUM(AK96:AK96)</f>
        <v>0</v>
      </c>
      <c r="AL95" s="373"/>
      <c r="AM95" s="373"/>
      <c r="AN95" s="374"/>
      <c r="AO95" s="373"/>
      <c r="AP95" s="373">
        <f>SUM(AP96:AP96)</f>
        <v>0</v>
      </c>
      <c r="AQ95" s="373"/>
      <c r="AR95" s="373"/>
      <c r="AS95" s="374"/>
      <c r="AT95" s="373"/>
      <c r="AU95" s="373">
        <f>SUM(AU96:AU96)</f>
        <v>0</v>
      </c>
      <c r="AV95" s="373"/>
      <c r="AW95" s="373"/>
      <c r="AX95" s="374"/>
      <c r="AY95" s="373"/>
      <c r="AZ95" s="373">
        <f>SUM(AZ96:AZ96)</f>
        <v>0</v>
      </c>
      <c r="BA95" s="373"/>
      <c r="BB95" s="373"/>
      <c r="BC95" s="374"/>
      <c r="BD95" s="373"/>
      <c r="BE95" s="373">
        <f>SUM(BE96:BE96)</f>
        <v>0</v>
      </c>
      <c r="BF95" s="373"/>
      <c r="BG95" s="373"/>
      <c r="BH95" s="374"/>
      <c r="BI95" s="373"/>
      <c r="BJ95" s="373">
        <f>SUM(BJ96:BJ96)</f>
        <v>0</v>
      </c>
      <c r="BK95" s="373"/>
      <c r="BL95" s="373"/>
      <c r="BM95" s="374"/>
      <c r="BN95" s="373"/>
      <c r="BO95" s="373">
        <f>SUM(BO96:BO96)</f>
        <v>0</v>
      </c>
      <c r="BP95" s="373"/>
      <c r="BQ95" s="373"/>
      <c r="BR95" s="374"/>
      <c r="BS95" s="373"/>
      <c r="BT95" s="373">
        <f>SUM(BT96:BT96)</f>
        <v>0</v>
      </c>
      <c r="BU95" s="373"/>
      <c r="BV95" s="373"/>
      <c r="BW95" s="9"/>
      <c r="BX95" s="10"/>
      <c r="BY95" s="10"/>
    </row>
    <row r="96" spans="4:77" ht="12.75" hidden="1" customHeight="1" x14ac:dyDescent="0.2">
      <c r="D96" s="9" t="s">
        <v>343</v>
      </c>
      <c r="E96" s="156"/>
      <c r="F96" s="378"/>
      <c r="G96" s="379">
        <v>0</v>
      </c>
      <c r="H96" s="380"/>
      <c r="I96" s="373"/>
      <c r="J96" s="374"/>
      <c r="K96" s="381"/>
      <c r="L96" s="379">
        <v>0</v>
      </c>
      <c r="M96" s="380"/>
      <c r="N96" s="373"/>
      <c r="O96" s="374"/>
      <c r="P96" s="381"/>
      <c r="Q96" s="379">
        <v>0</v>
      </c>
      <c r="R96" s="380"/>
      <c r="S96" s="373"/>
      <c r="T96" s="374"/>
      <c r="U96" s="381"/>
      <c r="V96" s="379">
        <v>0</v>
      </c>
      <c r="W96" s="380"/>
      <c r="X96" s="373"/>
      <c r="Y96" s="374"/>
      <c r="Z96" s="381"/>
      <c r="AA96" s="379">
        <v>0</v>
      </c>
      <c r="AB96" s="380"/>
      <c r="AC96" s="373"/>
      <c r="AD96" s="374"/>
      <c r="AE96" s="381"/>
      <c r="AF96" s="379">
        <v>0</v>
      </c>
      <c r="AG96" s="380"/>
      <c r="AH96" s="373"/>
      <c r="AI96" s="374"/>
      <c r="AJ96" s="381"/>
      <c r="AK96" s="379">
        <v>0</v>
      </c>
      <c r="AL96" s="380"/>
      <c r="AM96" s="373"/>
      <c r="AN96" s="374"/>
      <c r="AO96" s="381"/>
      <c r="AP96" s="379">
        <v>0</v>
      </c>
      <c r="AQ96" s="380"/>
      <c r="AR96" s="373"/>
      <c r="AS96" s="374"/>
      <c r="AT96" s="381"/>
      <c r="AU96" s="379">
        <v>0</v>
      </c>
      <c r="AV96" s="380"/>
      <c r="AW96" s="373"/>
      <c r="AX96" s="374"/>
      <c r="AY96" s="381"/>
      <c r="AZ96" s="379">
        <v>0</v>
      </c>
      <c r="BA96" s="380"/>
      <c r="BB96" s="373"/>
      <c r="BC96" s="374"/>
      <c r="BD96" s="381"/>
      <c r="BE96" s="379">
        <v>0</v>
      </c>
      <c r="BF96" s="380"/>
      <c r="BG96" s="373"/>
      <c r="BH96" s="374"/>
      <c r="BI96" s="381"/>
      <c r="BJ96" s="379">
        <v>0</v>
      </c>
      <c r="BK96" s="380"/>
      <c r="BL96" s="373"/>
      <c r="BM96" s="374"/>
      <c r="BN96" s="381"/>
      <c r="BO96" s="379">
        <v>0</v>
      </c>
      <c r="BP96" s="380"/>
      <c r="BQ96" s="373"/>
      <c r="BR96" s="374"/>
      <c r="BS96" s="381"/>
      <c r="BT96" s="379">
        <f>SUM(L96:BO96)</f>
        <v>0</v>
      </c>
      <c r="BU96" s="380"/>
      <c r="BV96" s="373"/>
      <c r="BW96" s="9"/>
      <c r="BX96" s="10"/>
      <c r="BY96" s="10"/>
    </row>
    <row r="97" spans="4:77" ht="12.75" hidden="1" customHeight="1" x14ac:dyDescent="0.2">
      <c r="D97" s="9"/>
      <c r="E97" s="156"/>
      <c r="G97" s="373"/>
      <c r="H97" s="373"/>
      <c r="I97" s="373"/>
      <c r="J97" s="374"/>
      <c r="K97" s="373"/>
      <c r="L97" s="373"/>
      <c r="M97" s="373"/>
      <c r="N97" s="373"/>
      <c r="O97" s="374"/>
      <c r="P97" s="373"/>
      <c r="Q97" s="373"/>
      <c r="R97" s="373"/>
      <c r="S97" s="373"/>
      <c r="T97" s="374"/>
      <c r="U97" s="373"/>
      <c r="V97" s="373"/>
      <c r="W97" s="373"/>
      <c r="X97" s="373"/>
      <c r="Y97" s="374"/>
      <c r="Z97" s="373"/>
      <c r="AA97" s="373"/>
      <c r="AB97" s="373"/>
      <c r="AC97" s="373"/>
      <c r="AD97" s="374"/>
      <c r="AE97" s="373"/>
      <c r="AF97" s="373"/>
      <c r="AG97" s="373"/>
      <c r="AH97" s="373"/>
      <c r="AI97" s="374"/>
      <c r="AJ97" s="373"/>
      <c r="AK97" s="373"/>
      <c r="AL97" s="373"/>
      <c r="AM97" s="373"/>
      <c r="AN97" s="374"/>
      <c r="AO97" s="373"/>
      <c r="AP97" s="373"/>
      <c r="AQ97" s="373"/>
      <c r="AR97" s="373"/>
      <c r="AS97" s="374"/>
      <c r="AT97" s="373"/>
      <c r="AU97" s="373"/>
      <c r="AV97" s="373"/>
      <c r="AW97" s="373"/>
      <c r="AX97" s="374"/>
      <c r="AY97" s="373"/>
      <c r="AZ97" s="373"/>
      <c r="BA97" s="373"/>
      <c r="BB97" s="373"/>
      <c r="BC97" s="374"/>
      <c r="BD97" s="373"/>
      <c r="BE97" s="373"/>
      <c r="BF97" s="373"/>
      <c r="BG97" s="373"/>
      <c r="BH97" s="374"/>
      <c r="BI97" s="373"/>
      <c r="BJ97" s="373"/>
      <c r="BK97" s="373"/>
      <c r="BL97" s="373"/>
      <c r="BM97" s="374"/>
      <c r="BN97" s="373"/>
      <c r="BO97" s="373"/>
      <c r="BP97" s="373"/>
      <c r="BQ97" s="373"/>
      <c r="BR97" s="374"/>
      <c r="BS97" s="373"/>
      <c r="BT97" s="373"/>
      <c r="BU97" s="373"/>
      <c r="BV97" s="373"/>
      <c r="BW97" s="9"/>
      <c r="BX97" s="10"/>
      <c r="BY97" s="10"/>
    </row>
    <row r="98" spans="4:77" ht="12.75" customHeight="1" x14ac:dyDescent="0.2">
      <c r="D98" s="383" t="s">
        <v>407</v>
      </c>
      <c r="E98" s="156"/>
      <c r="G98" s="373">
        <f>SUM(G99:G99)</f>
        <v>0</v>
      </c>
      <c r="H98" s="373"/>
      <c r="I98" s="373"/>
      <c r="J98" s="374"/>
      <c r="K98" s="373"/>
      <c r="L98" s="373">
        <f>SUM(L99:L99)</f>
        <v>0</v>
      </c>
      <c r="M98" s="373"/>
      <c r="N98" s="373"/>
      <c r="O98" s="374"/>
      <c r="P98" s="373"/>
      <c r="Q98" s="373">
        <f>SUM(Q99:Q99)</f>
        <v>0</v>
      </c>
      <c r="R98" s="373"/>
      <c r="S98" s="373"/>
      <c r="T98" s="374"/>
      <c r="U98" s="373"/>
      <c r="V98" s="373">
        <f>SUM(V99:V99)</f>
        <v>0</v>
      </c>
      <c r="W98" s="373"/>
      <c r="X98" s="373"/>
      <c r="Y98" s="374"/>
      <c r="Z98" s="373"/>
      <c r="AA98" s="373">
        <f>SUM(AA99:AA99)</f>
        <v>0</v>
      </c>
      <c r="AB98" s="373"/>
      <c r="AC98" s="373"/>
      <c r="AD98" s="374"/>
      <c r="AE98" s="373"/>
      <c r="AF98" s="373">
        <f>SUM(AF99:AF99)</f>
        <v>41191</v>
      </c>
      <c r="AG98" s="373"/>
      <c r="AH98" s="373"/>
      <c r="AI98" s="374"/>
      <c r="AJ98" s="373"/>
      <c r="AK98" s="373">
        <f>SUM(AK99:AK99)</f>
        <v>0</v>
      </c>
      <c r="AL98" s="373"/>
      <c r="AM98" s="373"/>
      <c r="AN98" s="374"/>
      <c r="AO98" s="373"/>
      <c r="AP98" s="373">
        <f>SUM(AP99:AP99)</f>
        <v>0</v>
      </c>
      <c r="AQ98" s="373"/>
      <c r="AR98" s="373"/>
      <c r="AS98" s="374"/>
      <c r="AT98" s="373"/>
      <c r="AU98" s="373">
        <f>SUM(AU99:AU99)</f>
        <v>0</v>
      </c>
      <c r="AV98" s="373"/>
      <c r="AW98" s="373"/>
      <c r="AX98" s="374"/>
      <c r="AY98" s="373"/>
      <c r="AZ98" s="373">
        <f>SUM(AZ99:AZ99)</f>
        <v>0</v>
      </c>
      <c r="BA98" s="373"/>
      <c r="BB98" s="373"/>
      <c r="BC98" s="374"/>
      <c r="BD98" s="373"/>
      <c r="BE98" s="373">
        <f>SUM(BE99:BE99)</f>
        <v>0</v>
      </c>
      <c r="BF98" s="373"/>
      <c r="BG98" s="373"/>
      <c r="BH98" s="374"/>
      <c r="BI98" s="373"/>
      <c r="BJ98" s="373">
        <f>SUM(BJ99:BJ99)</f>
        <v>0</v>
      </c>
      <c r="BK98" s="373"/>
      <c r="BL98" s="373"/>
      <c r="BM98" s="374"/>
      <c r="BN98" s="373"/>
      <c r="BO98" s="373">
        <f>SUM(BO99:BO99)</f>
        <v>0</v>
      </c>
      <c r="BP98" s="373"/>
      <c r="BQ98" s="373"/>
      <c r="BR98" s="374"/>
      <c r="BS98" s="373"/>
      <c r="BT98" s="373">
        <f>SUM(BT99:BT99)</f>
        <v>41191</v>
      </c>
      <c r="BU98" s="373"/>
      <c r="BV98" s="373"/>
      <c r="BW98" s="9"/>
      <c r="BX98" s="10"/>
      <c r="BY98" s="10"/>
    </row>
    <row r="99" spans="4:77" ht="12.75" customHeight="1" x14ac:dyDescent="0.2">
      <c r="D99" s="9" t="s">
        <v>343</v>
      </c>
      <c r="E99" s="156"/>
      <c r="F99" s="378"/>
      <c r="G99" s="379">
        <v>0</v>
      </c>
      <c r="H99" s="380"/>
      <c r="I99" s="373"/>
      <c r="J99" s="374"/>
      <c r="K99" s="381"/>
      <c r="L99" s="379">
        <v>0</v>
      </c>
      <c r="M99" s="380"/>
      <c r="N99" s="373"/>
      <c r="O99" s="374"/>
      <c r="P99" s="381"/>
      <c r="Q99" s="379">
        <v>0</v>
      </c>
      <c r="R99" s="380"/>
      <c r="S99" s="373"/>
      <c r="T99" s="374"/>
      <c r="U99" s="381"/>
      <c r="V99" s="379">
        <v>0</v>
      </c>
      <c r="W99" s="380"/>
      <c r="X99" s="373"/>
      <c r="Y99" s="374"/>
      <c r="Z99" s="381"/>
      <c r="AA99" s="379">
        <v>0</v>
      </c>
      <c r="AB99" s="380"/>
      <c r="AC99" s="373"/>
      <c r="AD99" s="374"/>
      <c r="AE99" s="381"/>
      <c r="AF99" s="379">
        <v>41191</v>
      </c>
      <c r="AG99" s="380"/>
      <c r="AH99" s="373"/>
      <c r="AI99" s="374"/>
      <c r="AJ99" s="381"/>
      <c r="AK99" s="379">
        <v>0</v>
      </c>
      <c r="AL99" s="380"/>
      <c r="AM99" s="373"/>
      <c r="AN99" s="374"/>
      <c r="AO99" s="381"/>
      <c r="AP99" s="379">
        <v>0</v>
      </c>
      <c r="AQ99" s="380"/>
      <c r="AR99" s="373"/>
      <c r="AS99" s="374"/>
      <c r="AT99" s="381"/>
      <c r="AU99" s="379">
        <v>0</v>
      </c>
      <c r="AV99" s="380"/>
      <c r="AW99" s="373"/>
      <c r="AX99" s="374"/>
      <c r="AY99" s="381"/>
      <c r="AZ99" s="379">
        <v>0</v>
      </c>
      <c r="BA99" s="380"/>
      <c r="BB99" s="373"/>
      <c r="BC99" s="374"/>
      <c r="BD99" s="381"/>
      <c r="BE99" s="379">
        <v>0</v>
      </c>
      <c r="BF99" s="380"/>
      <c r="BG99" s="373"/>
      <c r="BH99" s="374"/>
      <c r="BI99" s="381"/>
      <c r="BJ99" s="379">
        <v>0</v>
      </c>
      <c r="BK99" s="380"/>
      <c r="BL99" s="373"/>
      <c r="BM99" s="374"/>
      <c r="BN99" s="381"/>
      <c r="BO99" s="379">
        <v>0</v>
      </c>
      <c r="BP99" s="380"/>
      <c r="BQ99" s="373"/>
      <c r="BR99" s="374"/>
      <c r="BS99" s="381"/>
      <c r="BT99" s="379">
        <f>SUM(L99:BO99)</f>
        <v>41191</v>
      </c>
      <c r="BU99" s="380"/>
      <c r="BV99" s="373"/>
      <c r="BW99" s="9"/>
      <c r="BX99" s="10"/>
      <c r="BY99" s="10"/>
    </row>
    <row r="100" spans="4:77" ht="12.75" customHeight="1" x14ac:dyDescent="0.2">
      <c r="D100" s="9"/>
      <c r="E100" s="156"/>
      <c r="G100" s="373"/>
      <c r="H100" s="373"/>
      <c r="I100" s="373"/>
      <c r="J100" s="374"/>
      <c r="K100" s="373"/>
      <c r="L100" s="373"/>
      <c r="M100" s="373"/>
      <c r="N100" s="373"/>
      <c r="O100" s="374"/>
      <c r="P100" s="373"/>
      <c r="Q100" s="373"/>
      <c r="R100" s="373"/>
      <c r="S100" s="373"/>
      <c r="T100" s="374"/>
      <c r="U100" s="373"/>
      <c r="V100" s="373"/>
      <c r="W100" s="373"/>
      <c r="X100" s="373"/>
      <c r="Y100" s="374"/>
      <c r="Z100" s="373"/>
      <c r="AA100" s="373"/>
      <c r="AB100" s="373"/>
      <c r="AC100" s="373"/>
      <c r="AD100" s="374"/>
      <c r="AE100" s="373"/>
      <c r="AF100" s="373"/>
      <c r="AG100" s="373"/>
      <c r="AH100" s="373"/>
      <c r="AI100" s="374"/>
      <c r="AJ100" s="373"/>
      <c r="AK100" s="373"/>
      <c r="AL100" s="373"/>
      <c r="AM100" s="373"/>
      <c r="AN100" s="374"/>
      <c r="AO100" s="373"/>
      <c r="AP100" s="373"/>
      <c r="AQ100" s="373"/>
      <c r="AR100" s="373"/>
      <c r="AS100" s="374"/>
      <c r="AT100" s="373"/>
      <c r="AU100" s="373"/>
      <c r="AV100" s="373"/>
      <c r="AW100" s="373"/>
      <c r="AX100" s="374"/>
      <c r="AY100" s="373"/>
      <c r="AZ100" s="373"/>
      <c r="BA100" s="373"/>
      <c r="BB100" s="373"/>
      <c r="BC100" s="374"/>
      <c r="BD100" s="373"/>
      <c r="BE100" s="373"/>
      <c r="BF100" s="373"/>
      <c r="BG100" s="373"/>
      <c r="BH100" s="374"/>
      <c r="BI100" s="373"/>
      <c r="BJ100" s="373"/>
      <c r="BK100" s="373"/>
      <c r="BL100" s="373"/>
      <c r="BM100" s="374"/>
      <c r="BN100" s="373"/>
      <c r="BO100" s="373"/>
      <c r="BP100" s="373"/>
      <c r="BQ100" s="373"/>
      <c r="BR100" s="374"/>
      <c r="BS100" s="373"/>
      <c r="BT100" s="373"/>
      <c r="BU100" s="373"/>
      <c r="BV100" s="373"/>
      <c r="BW100" s="9"/>
      <c r="BX100" s="10"/>
      <c r="BY100" s="10"/>
    </row>
    <row r="101" spans="4:77" ht="12.75" customHeight="1" x14ac:dyDescent="0.2">
      <c r="D101" s="383" t="s">
        <v>363</v>
      </c>
      <c r="E101" s="156"/>
      <c r="G101" s="373">
        <f>SUM(G102:G102)</f>
        <v>0</v>
      </c>
      <c r="H101" s="373"/>
      <c r="I101" s="373"/>
      <c r="J101" s="374"/>
      <c r="K101" s="373"/>
      <c r="L101" s="373">
        <f>SUM(L102:L102)</f>
        <v>0</v>
      </c>
      <c r="M101" s="373"/>
      <c r="N101" s="373"/>
      <c r="O101" s="374"/>
      <c r="P101" s="373"/>
      <c r="Q101" s="373">
        <f>SUM(Q102:Q102)</f>
        <v>0</v>
      </c>
      <c r="R101" s="373"/>
      <c r="S101" s="373"/>
      <c r="T101" s="374"/>
      <c r="U101" s="373"/>
      <c r="V101" s="373">
        <f>SUM(V102:V102)</f>
        <v>0</v>
      </c>
      <c r="W101" s="373"/>
      <c r="X101" s="373"/>
      <c r="Y101" s="374"/>
      <c r="Z101" s="373"/>
      <c r="AA101" s="373">
        <f>SUM(AA102:AA102)</f>
        <v>0</v>
      </c>
      <c r="AB101" s="373"/>
      <c r="AC101" s="373"/>
      <c r="AD101" s="374"/>
      <c r="AE101" s="373"/>
      <c r="AF101" s="373">
        <f>SUM(AF102:AF102)</f>
        <v>0</v>
      </c>
      <c r="AG101" s="373"/>
      <c r="AH101" s="373"/>
      <c r="AI101" s="374"/>
      <c r="AJ101" s="373"/>
      <c r="AK101" s="373">
        <f>SUM(AK102:AK102)</f>
        <v>0</v>
      </c>
      <c r="AL101" s="373"/>
      <c r="AM101" s="373"/>
      <c r="AN101" s="374"/>
      <c r="AO101" s="373"/>
      <c r="AP101" s="373">
        <f>SUM(AP102:AP102)</f>
        <v>0</v>
      </c>
      <c r="AQ101" s="373"/>
      <c r="AR101" s="373"/>
      <c r="AS101" s="374"/>
      <c r="AT101" s="373"/>
      <c r="AU101" s="373">
        <f>SUM(AU102:AU102)</f>
        <v>0</v>
      </c>
      <c r="AV101" s="373"/>
      <c r="AW101" s="373"/>
      <c r="AX101" s="374"/>
      <c r="AY101" s="373"/>
      <c r="AZ101" s="373">
        <f>SUM(AZ102:AZ102)</f>
        <v>0</v>
      </c>
      <c r="BA101" s="373"/>
      <c r="BB101" s="373"/>
      <c r="BC101" s="374"/>
      <c r="BD101" s="373"/>
      <c r="BE101" s="373">
        <f>SUM(BE102:BE102)</f>
        <v>0</v>
      </c>
      <c r="BF101" s="373"/>
      <c r="BG101" s="373"/>
      <c r="BH101" s="374"/>
      <c r="BI101" s="373"/>
      <c r="BJ101" s="373">
        <f>SUM(BJ102:BJ102)</f>
        <v>0</v>
      </c>
      <c r="BK101" s="373"/>
      <c r="BL101" s="373"/>
      <c r="BM101" s="374"/>
      <c r="BN101" s="373"/>
      <c r="BO101" s="373">
        <f>SUM(BO102:BO102)</f>
        <v>0</v>
      </c>
      <c r="BP101" s="373"/>
      <c r="BQ101" s="373"/>
      <c r="BR101" s="374"/>
      <c r="BS101" s="373"/>
      <c r="BT101" s="373">
        <f>SUM(BT102:BT102)</f>
        <v>0</v>
      </c>
      <c r="BU101" s="373"/>
      <c r="BV101" s="373"/>
      <c r="BW101" s="9"/>
      <c r="BX101" s="10"/>
      <c r="BY101" s="10"/>
    </row>
    <row r="102" spans="4:77" ht="12.75" customHeight="1" x14ac:dyDescent="0.2">
      <c r="D102" s="9" t="s">
        <v>343</v>
      </c>
      <c r="E102" s="156"/>
      <c r="F102" s="378"/>
      <c r="G102" s="379">
        <v>0</v>
      </c>
      <c r="H102" s="380"/>
      <c r="I102" s="373"/>
      <c r="J102" s="374"/>
      <c r="K102" s="381"/>
      <c r="L102" s="379">
        <v>0</v>
      </c>
      <c r="M102" s="380"/>
      <c r="N102" s="373"/>
      <c r="O102" s="374"/>
      <c r="P102" s="381"/>
      <c r="Q102" s="379">
        <v>0</v>
      </c>
      <c r="R102" s="380"/>
      <c r="S102" s="373"/>
      <c r="T102" s="374"/>
      <c r="U102" s="381"/>
      <c r="V102" s="379">
        <v>0</v>
      </c>
      <c r="W102" s="380"/>
      <c r="X102" s="373"/>
      <c r="Y102" s="374"/>
      <c r="Z102" s="381"/>
      <c r="AA102" s="379">
        <v>0</v>
      </c>
      <c r="AB102" s="380"/>
      <c r="AC102" s="373"/>
      <c r="AD102" s="374"/>
      <c r="AE102" s="381"/>
      <c r="AF102" s="379">
        <v>0</v>
      </c>
      <c r="AG102" s="380"/>
      <c r="AH102" s="373"/>
      <c r="AI102" s="374"/>
      <c r="AJ102" s="381"/>
      <c r="AK102" s="379">
        <v>0</v>
      </c>
      <c r="AL102" s="380"/>
      <c r="AM102" s="373"/>
      <c r="AN102" s="374"/>
      <c r="AO102" s="381"/>
      <c r="AP102" s="379">
        <v>0</v>
      </c>
      <c r="AQ102" s="380"/>
      <c r="AR102" s="373"/>
      <c r="AS102" s="374"/>
      <c r="AT102" s="381"/>
      <c r="AU102" s="379">
        <v>0</v>
      </c>
      <c r="AV102" s="380"/>
      <c r="AW102" s="373"/>
      <c r="AX102" s="374"/>
      <c r="AY102" s="381"/>
      <c r="AZ102" s="379">
        <v>0</v>
      </c>
      <c r="BA102" s="380"/>
      <c r="BB102" s="373"/>
      <c r="BC102" s="374"/>
      <c r="BD102" s="381"/>
      <c r="BE102" s="379">
        <v>0</v>
      </c>
      <c r="BF102" s="380"/>
      <c r="BG102" s="373"/>
      <c r="BH102" s="374"/>
      <c r="BI102" s="381"/>
      <c r="BJ102" s="379">
        <v>0</v>
      </c>
      <c r="BK102" s="380"/>
      <c r="BL102" s="373"/>
      <c r="BM102" s="374"/>
      <c r="BN102" s="381"/>
      <c r="BO102" s="379">
        <v>0</v>
      </c>
      <c r="BP102" s="380"/>
      <c r="BQ102" s="373"/>
      <c r="BR102" s="374"/>
      <c r="BS102" s="381"/>
      <c r="BT102" s="379">
        <f>SUM(L102:BO102)</f>
        <v>0</v>
      </c>
      <c r="BU102" s="380"/>
      <c r="BV102" s="373"/>
      <c r="BW102" s="9"/>
      <c r="BX102" s="10"/>
      <c r="BY102" s="10"/>
    </row>
    <row r="103" spans="4:77" ht="12.75" customHeight="1" x14ac:dyDescent="0.2">
      <c r="D103" s="9"/>
      <c r="E103" s="156"/>
      <c r="G103" s="373"/>
      <c r="H103" s="373"/>
      <c r="I103" s="373"/>
      <c r="J103" s="374"/>
      <c r="K103" s="373"/>
      <c r="L103" s="373"/>
      <c r="M103" s="373"/>
      <c r="N103" s="373"/>
      <c r="O103" s="374"/>
      <c r="P103" s="373"/>
      <c r="Q103" s="373"/>
      <c r="R103" s="373"/>
      <c r="S103" s="373"/>
      <c r="T103" s="374"/>
      <c r="U103" s="373"/>
      <c r="V103" s="373"/>
      <c r="W103" s="373"/>
      <c r="X103" s="373"/>
      <c r="Y103" s="374"/>
      <c r="Z103" s="373"/>
      <c r="AA103" s="373"/>
      <c r="AB103" s="373"/>
      <c r="AC103" s="373"/>
      <c r="AD103" s="374"/>
      <c r="AE103" s="373"/>
      <c r="AF103" s="373"/>
      <c r="AG103" s="373"/>
      <c r="AH103" s="373"/>
      <c r="AI103" s="374"/>
      <c r="AJ103" s="373"/>
      <c r="AK103" s="373"/>
      <c r="AL103" s="373"/>
      <c r="AM103" s="373"/>
      <c r="AN103" s="374"/>
      <c r="AO103" s="373"/>
      <c r="AP103" s="373"/>
      <c r="AQ103" s="373"/>
      <c r="AR103" s="373"/>
      <c r="AS103" s="374"/>
      <c r="AT103" s="373"/>
      <c r="AU103" s="373"/>
      <c r="AV103" s="373"/>
      <c r="AW103" s="373"/>
      <c r="AX103" s="374"/>
      <c r="AY103" s="373"/>
      <c r="AZ103" s="373"/>
      <c r="BA103" s="373"/>
      <c r="BB103" s="373"/>
      <c r="BC103" s="374"/>
      <c r="BD103" s="373"/>
      <c r="BE103" s="373"/>
      <c r="BF103" s="373"/>
      <c r="BG103" s="373"/>
      <c r="BH103" s="374"/>
      <c r="BI103" s="373"/>
      <c r="BJ103" s="373"/>
      <c r="BK103" s="373"/>
      <c r="BL103" s="373"/>
      <c r="BM103" s="374"/>
      <c r="BN103" s="373"/>
      <c r="BO103" s="373"/>
      <c r="BP103" s="373"/>
      <c r="BQ103" s="373"/>
      <c r="BR103" s="374"/>
      <c r="BS103" s="373"/>
      <c r="BT103" s="373"/>
      <c r="BU103" s="373"/>
      <c r="BV103" s="373"/>
      <c r="BW103" s="9"/>
      <c r="BX103" s="10"/>
      <c r="BY103" s="10"/>
    </row>
    <row r="104" spans="4:77" x14ac:dyDescent="0.2">
      <c r="D104" s="9" t="s">
        <v>364</v>
      </c>
      <c r="E104" s="156"/>
      <c r="G104" s="373">
        <f>SUM(G105:G105)</f>
        <v>0</v>
      </c>
      <c r="H104" s="373"/>
      <c r="I104" s="373"/>
      <c r="J104" s="374"/>
      <c r="L104" s="373">
        <f>SUM(L105:L105)</f>
        <v>0</v>
      </c>
      <c r="M104" s="373"/>
      <c r="N104" s="373"/>
      <c r="O104" s="374"/>
      <c r="P104" s="373"/>
      <c r="Q104" s="373">
        <f>SUM(Q105:Q105)</f>
        <v>0</v>
      </c>
      <c r="R104" s="373"/>
      <c r="S104" s="373"/>
      <c r="T104" s="374"/>
      <c r="U104" s="373"/>
      <c r="V104" s="373">
        <f>SUM(V105:V105)</f>
        <v>0</v>
      </c>
      <c r="W104" s="373"/>
      <c r="X104" s="373"/>
      <c r="Y104" s="374"/>
      <c r="Z104" s="373"/>
      <c r="AA104" s="373">
        <f>SUM(AA105:AA105)</f>
        <v>0</v>
      </c>
      <c r="AB104" s="373"/>
      <c r="AC104" s="373"/>
      <c r="AD104" s="374"/>
      <c r="AE104" s="373"/>
      <c r="AF104" s="373">
        <f>SUM(AF105:AF105)</f>
        <v>0</v>
      </c>
      <c r="AG104" s="373"/>
      <c r="AH104" s="373"/>
      <c r="AI104" s="374"/>
      <c r="AJ104" s="373"/>
      <c r="AK104" s="373">
        <f>SUM(AK105:AK105)</f>
        <v>0</v>
      </c>
      <c r="AL104" s="373"/>
      <c r="AM104" s="373"/>
      <c r="AN104" s="374"/>
      <c r="AO104" s="373"/>
      <c r="AP104" s="373">
        <f>SUM(AP105:AP105)</f>
        <v>0</v>
      </c>
      <c r="AQ104" s="373"/>
      <c r="AR104" s="373"/>
      <c r="AS104" s="374"/>
      <c r="AT104" s="373"/>
      <c r="AU104" s="373">
        <f>SUM(AU105:AU105)</f>
        <v>0</v>
      </c>
      <c r="AV104" s="373"/>
      <c r="AW104" s="373"/>
      <c r="AX104" s="374"/>
      <c r="AY104" s="373"/>
      <c r="AZ104" s="373">
        <f>SUM(AZ105:AZ105)</f>
        <v>0</v>
      </c>
      <c r="BA104" s="373"/>
      <c r="BB104" s="373"/>
      <c r="BC104" s="374"/>
      <c r="BD104" s="373"/>
      <c r="BE104" s="373">
        <f>SUM(BE105:BE105)</f>
        <v>0</v>
      </c>
      <c r="BF104" s="373"/>
      <c r="BG104" s="373"/>
      <c r="BH104" s="374"/>
      <c r="BI104" s="373"/>
      <c r="BJ104" s="373">
        <f>SUM(BJ105:BJ105)</f>
        <v>0</v>
      </c>
      <c r="BK104" s="373"/>
      <c r="BL104" s="373"/>
      <c r="BM104" s="374"/>
      <c r="BN104" s="373"/>
      <c r="BO104" s="373">
        <f>SUM(BO105:BO105)</f>
        <v>0</v>
      </c>
      <c r="BP104" s="373"/>
      <c r="BQ104" s="373"/>
      <c r="BR104" s="374"/>
      <c r="BT104" s="373">
        <f>SUM(BT105:BT105)</f>
        <v>0</v>
      </c>
      <c r="BU104" s="373"/>
      <c r="BV104" s="373"/>
      <c r="BW104" s="9"/>
      <c r="BX104" s="10"/>
      <c r="BY104" s="10"/>
    </row>
    <row r="105" spans="4:77" x14ac:dyDescent="0.2">
      <c r="D105" s="9" t="s">
        <v>343</v>
      </c>
      <c r="E105" s="156"/>
      <c r="F105" s="378"/>
      <c r="G105" s="379">
        <v>0</v>
      </c>
      <c r="H105" s="380"/>
      <c r="I105" s="373"/>
      <c r="J105" s="374"/>
      <c r="K105" s="378"/>
      <c r="L105" s="379">
        <v>0</v>
      </c>
      <c r="M105" s="380"/>
      <c r="N105" s="373"/>
      <c r="O105" s="374"/>
      <c r="P105" s="381"/>
      <c r="Q105" s="379">
        <v>0</v>
      </c>
      <c r="R105" s="380"/>
      <c r="S105" s="373"/>
      <c r="T105" s="374"/>
      <c r="U105" s="381"/>
      <c r="V105" s="379">
        <v>0</v>
      </c>
      <c r="W105" s="380"/>
      <c r="X105" s="373"/>
      <c r="Y105" s="374"/>
      <c r="Z105" s="381"/>
      <c r="AA105" s="379">
        <v>0</v>
      </c>
      <c r="AB105" s="380"/>
      <c r="AC105" s="373"/>
      <c r="AD105" s="374"/>
      <c r="AE105" s="381"/>
      <c r="AF105" s="379">
        <v>0</v>
      </c>
      <c r="AG105" s="380"/>
      <c r="AH105" s="373"/>
      <c r="AI105" s="374"/>
      <c r="AJ105" s="381"/>
      <c r="AK105" s="379">
        <v>0</v>
      </c>
      <c r="AL105" s="380"/>
      <c r="AM105" s="373"/>
      <c r="AN105" s="374"/>
      <c r="AO105" s="381"/>
      <c r="AP105" s="379">
        <v>0</v>
      </c>
      <c r="AQ105" s="380"/>
      <c r="AR105" s="373"/>
      <c r="AS105" s="374"/>
      <c r="AT105" s="381"/>
      <c r="AU105" s="379">
        <v>0</v>
      </c>
      <c r="AV105" s="380"/>
      <c r="AW105" s="373"/>
      <c r="AX105" s="374"/>
      <c r="AY105" s="381"/>
      <c r="AZ105" s="379">
        <v>0</v>
      </c>
      <c r="BA105" s="380"/>
      <c r="BB105" s="373"/>
      <c r="BC105" s="374"/>
      <c r="BD105" s="381"/>
      <c r="BE105" s="379">
        <v>0</v>
      </c>
      <c r="BF105" s="380"/>
      <c r="BG105" s="373"/>
      <c r="BH105" s="374"/>
      <c r="BI105" s="381"/>
      <c r="BJ105" s="379">
        <v>0</v>
      </c>
      <c r="BK105" s="380"/>
      <c r="BL105" s="373"/>
      <c r="BM105" s="374"/>
      <c r="BN105" s="381"/>
      <c r="BO105" s="379">
        <v>0</v>
      </c>
      <c r="BP105" s="380"/>
      <c r="BQ105" s="373"/>
      <c r="BR105" s="374"/>
      <c r="BS105" s="381"/>
      <c r="BT105" s="379">
        <f>SUM(L105:BO105)</f>
        <v>0</v>
      </c>
      <c r="BU105" s="380"/>
      <c r="BV105" s="373"/>
      <c r="BW105" s="9"/>
      <c r="BX105" s="10"/>
      <c r="BY105" s="10"/>
    </row>
    <row r="106" spans="4:77" ht="12.75" customHeight="1" x14ac:dyDescent="0.2">
      <c r="D106" s="9"/>
      <c r="E106" s="156"/>
      <c r="G106" s="373"/>
      <c r="H106" s="373"/>
      <c r="I106" s="373"/>
      <c r="J106" s="374"/>
      <c r="K106" s="373"/>
      <c r="L106" s="373"/>
      <c r="M106" s="373"/>
      <c r="N106" s="373"/>
      <c r="O106" s="374"/>
      <c r="P106" s="373"/>
      <c r="Q106" s="373"/>
      <c r="R106" s="373"/>
      <c r="S106" s="373"/>
      <c r="T106" s="374"/>
      <c r="U106" s="373"/>
      <c r="V106" s="373"/>
      <c r="W106" s="373"/>
      <c r="X106" s="373"/>
      <c r="Y106" s="374"/>
      <c r="Z106" s="373"/>
      <c r="AA106" s="373"/>
      <c r="AB106" s="373"/>
      <c r="AC106" s="373"/>
      <c r="AD106" s="374"/>
      <c r="AE106" s="373"/>
      <c r="AF106" s="373"/>
      <c r="AG106" s="373"/>
      <c r="AH106" s="373"/>
      <c r="AI106" s="374"/>
      <c r="AJ106" s="373"/>
      <c r="AK106" s="373"/>
      <c r="AL106" s="373"/>
      <c r="AM106" s="373"/>
      <c r="AN106" s="374"/>
      <c r="AO106" s="373"/>
      <c r="AP106" s="373"/>
      <c r="AQ106" s="373"/>
      <c r="AR106" s="373"/>
      <c r="AS106" s="374"/>
      <c r="AT106" s="373"/>
      <c r="AU106" s="373"/>
      <c r="AV106" s="373"/>
      <c r="AW106" s="373"/>
      <c r="AX106" s="374"/>
      <c r="AY106" s="373"/>
      <c r="AZ106" s="373"/>
      <c r="BA106" s="373"/>
      <c r="BB106" s="373"/>
      <c r="BC106" s="374"/>
      <c r="BD106" s="373"/>
      <c r="BE106" s="373"/>
      <c r="BF106" s="373"/>
      <c r="BG106" s="373"/>
      <c r="BH106" s="374"/>
      <c r="BI106" s="373"/>
      <c r="BJ106" s="373"/>
      <c r="BK106" s="373"/>
      <c r="BL106" s="373"/>
      <c r="BM106" s="374"/>
      <c r="BN106" s="373"/>
      <c r="BO106" s="373"/>
      <c r="BP106" s="373"/>
      <c r="BQ106" s="373"/>
      <c r="BR106" s="374"/>
      <c r="BS106" s="373"/>
      <c r="BT106" s="373"/>
      <c r="BU106" s="373"/>
      <c r="BV106" s="373"/>
      <c r="BW106" s="9"/>
      <c r="BX106" s="10"/>
      <c r="BY106" s="10"/>
    </row>
    <row r="107" spans="4:77" ht="12.75" customHeight="1" x14ac:dyDescent="0.2">
      <c r="D107" s="9" t="str">
        <f>[54]domlongtermissues!D338</f>
        <v xml:space="preserve">  R209  (6.25%  2036/03/31)</v>
      </c>
      <c r="E107" s="156"/>
      <c r="G107" s="373">
        <f>SUM(G108:G108)</f>
        <v>0</v>
      </c>
      <c r="H107" s="373"/>
      <c r="I107" s="373"/>
      <c r="J107" s="374"/>
      <c r="K107" s="373"/>
      <c r="L107" s="373">
        <f>SUM(L108:L108)</f>
        <v>0</v>
      </c>
      <c r="M107" s="373"/>
      <c r="N107" s="373"/>
      <c r="O107" s="374"/>
      <c r="P107" s="373"/>
      <c r="Q107" s="373">
        <f>SUM(Q108:Q108)</f>
        <v>0</v>
      </c>
      <c r="R107" s="373"/>
      <c r="S107" s="373"/>
      <c r="T107" s="374"/>
      <c r="U107" s="373"/>
      <c r="V107" s="373">
        <f>SUM(V108:V108)</f>
        <v>0</v>
      </c>
      <c r="W107" s="373"/>
      <c r="X107" s="373"/>
      <c r="Y107" s="374"/>
      <c r="Z107" s="373"/>
      <c r="AA107" s="373">
        <f>SUM(AA108:AA108)</f>
        <v>0</v>
      </c>
      <c r="AB107" s="373"/>
      <c r="AC107" s="373"/>
      <c r="AD107" s="374"/>
      <c r="AE107" s="373"/>
      <c r="AF107" s="373">
        <f>SUM(AF108:AF108)</f>
        <v>0</v>
      </c>
      <c r="AG107" s="373"/>
      <c r="AH107" s="373"/>
      <c r="AI107" s="374"/>
      <c r="AJ107" s="373"/>
      <c r="AK107" s="373">
        <f>SUM(AK108:AK108)</f>
        <v>18552</v>
      </c>
      <c r="AL107" s="373"/>
      <c r="AM107" s="373"/>
      <c r="AN107" s="374"/>
      <c r="AO107" s="373"/>
      <c r="AP107" s="373">
        <f>SUM(AP108:AP108)</f>
        <v>0</v>
      </c>
      <c r="AQ107" s="373"/>
      <c r="AR107" s="373"/>
      <c r="AS107" s="374"/>
      <c r="AT107" s="373"/>
      <c r="AU107" s="373">
        <f>SUM(AU108:AU108)</f>
        <v>0</v>
      </c>
      <c r="AV107" s="373"/>
      <c r="AW107" s="373"/>
      <c r="AX107" s="374"/>
      <c r="AY107" s="373"/>
      <c r="AZ107" s="373">
        <f>SUM(AZ108:AZ108)</f>
        <v>0</v>
      </c>
      <c r="BA107" s="373"/>
      <c r="BB107" s="373"/>
      <c r="BC107" s="374"/>
      <c r="BD107" s="373"/>
      <c r="BE107" s="373">
        <f>SUM(BE108:BE108)</f>
        <v>0</v>
      </c>
      <c r="BF107" s="373"/>
      <c r="BG107" s="373"/>
      <c r="BH107" s="374"/>
      <c r="BI107" s="373"/>
      <c r="BJ107" s="373">
        <f>SUM(BJ108:BJ108)</f>
        <v>0</v>
      </c>
      <c r="BK107" s="373"/>
      <c r="BL107" s="373"/>
      <c r="BM107" s="374"/>
      <c r="BN107" s="373"/>
      <c r="BO107" s="373">
        <f>SUM(BO108:BO108)</f>
        <v>0</v>
      </c>
      <c r="BP107" s="373"/>
      <c r="BQ107" s="373"/>
      <c r="BR107" s="374"/>
      <c r="BS107" s="373"/>
      <c r="BT107" s="373">
        <f>SUM(BT108:BT108)</f>
        <v>18552</v>
      </c>
      <c r="BU107" s="373"/>
      <c r="BV107" s="373"/>
      <c r="BW107" s="9"/>
      <c r="BX107" s="10"/>
      <c r="BY107" s="10"/>
    </row>
    <row r="108" spans="4:77" ht="12.75" customHeight="1" x14ac:dyDescent="0.2">
      <c r="D108" s="9" t="s">
        <v>343</v>
      </c>
      <c r="E108" s="156"/>
      <c r="F108" s="378"/>
      <c r="G108" s="379">
        <v>0</v>
      </c>
      <c r="H108" s="380"/>
      <c r="I108" s="373"/>
      <c r="J108" s="374"/>
      <c r="K108" s="378"/>
      <c r="L108" s="379">
        <v>0</v>
      </c>
      <c r="M108" s="380"/>
      <c r="N108" s="373"/>
      <c r="O108" s="374"/>
      <c r="P108" s="378"/>
      <c r="Q108" s="379">
        <v>0</v>
      </c>
      <c r="R108" s="380"/>
      <c r="S108" s="373"/>
      <c r="T108" s="374"/>
      <c r="U108" s="378"/>
      <c r="V108" s="379">
        <v>0</v>
      </c>
      <c r="W108" s="380"/>
      <c r="X108" s="373"/>
      <c r="Y108" s="374"/>
      <c r="Z108" s="378"/>
      <c r="AA108" s="379">
        <v>0</v>
      </c>
      <c r="AB108" s="380"/>
      <c r="AC108" s="373"/>
      <c r="AD108" s="374"/>
      <c r="AE108" s="378"/>
      <c r="AF108" s="379">
        <v>0</v>
      </c>
      <c r="AG108" s="380"/>
      <c r="AH108" s="373"/>
      <c r="AI108" s="374"/>
      <c r="AJ108" s="378"/>
      <c r="AK108" s="379">
        <v>18552</v>
      </c>
      <c r="AL108" s="380"/>
      <c r="AM108" s="377"/>
      <c r="AN108" s="384"/>
      <c r="AO108" s="378"/>
      <c r="AP108" s="379">
        <v>0</v>
      </c>
      <c r="AQ108" s="380"/>
      <c r="AR108" s="373"/>
      <c r="AS108" s="374"/>
      <c r="AT108" s="378"/>
      <c r="AU108" s="379">
        <v>0</v>
      </c>
      <c r="AV108" s="380"/>
      <c r="AW108" s="373"/>
      <c r="AX108" s="374"/>
      <c r="AY108" s="378"/>
      <c r="AZ108" s="379">
        <v>0</v>
      </c>
      <c r="BA108" s="380"/>
      <c r="BB108" s="373"/>
      <c r="BC108" s="374"/>
      <c r="BD108" s="378"/>
      <c r="BE108" s="379">
        <v>0</v>
      </c>
      <c r="BF108" s="380"/>
      <c r="BG108" s="373"/>
      <c r="BH108" s="374"/>
      <c r="BI108" s="378"/>
      <c r="BJ108" s="379">
        <v>0</v>
      </c>
      <c r="BK108" s="380"/>
      <c r="BL108" s="373"/>
      <c r="BM108" s="374"/>
      <c r="BN108" s="378"/>
      <c r="BO108" s="379">
        <v>0</v>
      </c>
      <c r="BP108" s="380"/>
      <c r="BQ108" s="373"/>
      <c r="BR108" s="374"/>
      <c r="BS108" s="378"/>
      <c r="BT108" s="379">
        <f>SUM(L108:BO108)</f>
        <v>18552</v>
      </c>
      <c r="BU108" s="380"/>
      <c r="BV108" s="373"/>
      <c r="BW108" s="9"/>
      <c r="BX108" s="10"/>
      <c r="BY108" s="10"/>
    </row>
    <row r="109" spans="4:77" x14ac:dyDescent="0.2">
      <c r="D109" s="9"/>
      <c r="E109" s="156"/>
      <c r="G109" s="373"/>
      <c r="H109" s="373"/>
      <c r="I109" s="373"/>
      <c r="J109" s="374"/>
      <c r="L109" s="373"/>
      <c r="M109" s="373"/>
      <c r="N109" s="373"/>
      <c r="O109" s="374"/>
      <c r="Q109" s="373"/>
      <c r="R109" s="373"/>
      <c r="S109" s="373"/>
      <c r="T109" s="374"/>
      <c r="V109" s="373"/>
      <c r="W109" s="373"/>
      <c r="X109" s="373"/>
      <c r="Y109" s="374"/>
      <c r="AA109" s="373"/>
      <c r="AB109" s="373"/>
      <c r="AC109" s="373"/>
      <c r="AD109" s="374"/>
      <c r="AF109" s="373"/>
      <c r="AG109" s="373"/>
      <c r="AH109" s="373"/>
      <c r="AI109" s="374"/>
      <c r="AK109" s="373"/>
      <c r="AL109" s="373"/>
      <c r="AM109" s="373"/>
      <c r="AN109" s="374"/>
      <c r="AP109" s="373"/>
      <c r="AQ109" s="373"/>
      <c r="AR109" s="373"/>
      <c r="AS109" s="374"/>
      <c r="AU109" s="373"/>
      <c r="AV109" s="373"/>
      <c r="AW109" s="373"/>
      <c r="AX109" s="374"/>
      <c r="AZ109" s="373"/>
      <c r="BA109" s="373"/>
      <c r="BB109" s="373"/>
      <c r="BC109" s="374"/>
      <c r="BE109" s="373"/>
      <c r="BF109" s="373"/>
      <c r="BG109" s="373"/>
      <c r="BH109" s="374"/>
      <c r="BJ109" s="373"/>
      <c r="BK109" s="373"/>
      <c r="BL109" s="373"/>
      <c r="BM109" s="374"/>
      <c r="BO109" s="373"/>
      <c r="BP109" s="373"/>
      <c r="BQ109" s="373"/>
      <c r="BR109" s="374"/>
      <c r="BT109" s="373"/>
      <c r="BU109" s="373"/>
      <c r="BV109" s="373"/>
      <c r="BW109" s="9"/>
      <c r="BX109" s="10"/>
      <c r="BY109" s="10"/>
    </row>
    <row r="110" spans="4:77" x14ac:dyDescent="0.2">
      <c r="D110" s="9" t="s">
        <v>373</v>
      </c>
      <c r="E110" s="156"/>
      <c r="G110" s="373">
        <f>SUM(G111:G111)</f>
        <v>0</v>
      </c>
      <c r="H110" s="373"/>
      <c r="I110" s="373"/>
      <c r="J110" s="374"/>
      <c r="K110" s="373"/>
      <c r="L110" s="373">
        <f>SUM(L111:L111)</f>
        <v>0</v>
      </c>
      <c r="M110" s="373"/>
      <c r="N110" s="373"/>
      <c r="O110" s="374"/>
      <c r="P110" s="373"/>
      <c r="Q110" s="373">
        <f>SUM(Q111:Q111)</f>
        <v>0</v>
      </c>
      <c r="R110" s="373"/>
      <c r="S110" s="373"/>
      <c r="T110" s="374"/>
      <c r="U110" s="373"/>
      <c r="V110" s="373">
        <f>SUM(V111:V111)</f>
        <v>0</v>
      </c>
      <c r="W110" s="373"/>
      <c r="X110" s="373"/>
      <c r="Y110" s="374"/>
      <c r="Z110" s="373"/>
      <c r="AA110" s="373">
        <f>SUM(AA111:AA111)</f>
        <v>0</v>
      </c>
      <c r="AB110" s="373"/>
      <c r="AC110" s="373"/>
      <c r="AD110" s="374"/>
      <c r="AE110" s="373"/>
      <c r="AF110" s="373">
        <f>SUM(AF111:AF111)</f>
        <v>0</v>
      </c>
      <c r="AG110" s="373"/>
      <c r="AH110" s="373"/>
      <c r="AI110" s="374"/>
      <c r="AJ110" s="373"/>
      <c r="AK110" s="373">
        <f>SUM(AK111:AK111)</f>
        <v>0</v>
      </c>
      <c r="AL110" s="373"/>
      <c r="AM110" s="373"/>
      <c r="AN110" s="374"/>
      <c r="AO110" s="373"/>
      <c r="AP110" s="373">
        <f>SUM(AP111:AP111)</f>
        <v>0</v>
      </c>
      <c r="AQ110" s="373"/>
      <c r="AR110" s="373"/>
      <c r="AS110" s="374"/>
      <c r="AT110" s="373"/>
      <c r="AU110" s="373">
        <f>SUM(AU111:AU111)</f>
        <v>0</v>
      </c>
      <c r="AV110" s="373"/>
      <c r="AW110" s="373"/>
      <c r="AX110" s="374"/>
      <c r="AY110" s="373"/>
      <c r="AZ110" s="373">
        <f>SUM(AZ111:AZ111)</f>
        <v>0</v>
      </c>
      <c r="BA110" s="373"/>
      <c r="BB110" s="373"/>
      <c r="BC110" s="374"/>
      <c r="BD110" s="373"/>
      <c r="BE110" s="373">
        <f>SUM(BE111:BE111)</f>
        <v>0</v>
      </c>
      <c r="BF110" s="373"/>
      <c r="BG110" s="373"/>
      <c r="BH110" s="374"/>
      <c r="BI110" s="373"/>
      <c r="BJ110" s="373">
        <f>SUM(BJ111:BJ111)</f>
        <v>0</v>
      </c>
      <c r="BK110" s="373"/>
      <c r="BL110" s="373"/>
      <c r="BM110" s="374"/>
      <c r="BN110" s="373"/>
      <c r="BO110" s="373">
        <f>SUM(BO111:BO111)</f>
        <v>0</v>
      </c>
      <c r="BP110" s="373"/>
      <c r="BQ110" s="373"/>
      <c r="BR110" s="374"/>
      <c r="BT110" s="373">
        <f>SUM(BT111:BT111)</f>
        <v>0</v>
      </c>
      <c r="BU110" s="373"/>
      <c r="BV110" s="373"/>
      <c r="BW110" s="9"/>
      <c r="BX110" s="10"/>
      <c r="BY110" s="10"/>
    </row>
    <row r="111" spans="4:77" x14ac:dyDescent="0.2">
      <c r="D111" s="9" t="s">
        <v>343</v>
      </c>
      <c r="E111" s="156"/>
      <c r="F111" s="378"/>
      <c r="G111" s="379">
        <v>0</v>
      </c>
      <c r="H111" s="380"/>
      <c r="I111" s="373"/>
      <c r="J111" s="374"/>
      <c r="K111" s="378"/>
      <c r="L111" s="379">
        <v>0</v>
      </c>
      <c r="M111" s="380"/>
      <c r="N111" s="373"/>
      <c r="O111" s="374"/>
      <c r="P111" s="381"/>
      <c r="Q111" s="379">
        <v>0</v>
      </c>
      <c r="R111" s="380"/>
      <c r="S111" s="373"/>
      <c r="T111" s="374"/>
      <c r="U111" s="381"/>
      <c r="V111" s="379">
        <v>0</v>
      </c>
      <c r="W111" s="380"/>
      <c r="X111" s="373"/>
      <c r="Y111" s="374"/>
      <c r="Z111" s="381"/>
      <c r="AA111" s="379">
        <v>0</v>
      </c>
      <c r="AB111" s="380"/>
      <c r="AC111" s="373"/>
      <c r="AD111" s="374"/>
      <c r="AE111" s="381"/>
      <c r="AF111" s="379">
        <v>0</v>
      </c>
      <c r="AG111" s="380"/>
      <c r="AH111" s="373"/>
      <c r="AI111" s="374"/>
      <c r="AJ111" s="381"/>
      <c r="AK111" s="379">
        <v>0</v>
      </c>
      <c r="AL111" s="380"/>
      <c r="AM111" s="373"/>
      <c r="AN111" s="374"/>
      <c r="AO111" s="381"/>
      <c r="AP111" s="379">
        <v>0</v>
      </c>
      <c r="AQ111" s="380"/>
      <c r="AR111" s="373"/>
      <c r="AS111" s="374"/>
      <c r="AT111" s="381"/>
      <c r="AU111" s="379">
        <v>0</v>
      </c>
      <c r="AV111" s="380"/>
      <c r="AW111" s="373"/>
      <c r="AX111" s="374"/>
      <c r="AY111" s="381"/>
      <c r="AZ111" s="379">
        <v>0</v>
      </c>
      <c r="BA111" s="380"/>
      <c r="BB111" s="373"/>
      <c r="BC111" s="374"/>
      <c r="BD111" s="381"/>
      <c r="BE111" s="379">
        <v>0</v>
      </c>
      <c r="BF111" s="380"/>
      <c r="BG111" s="373"/>
      <c r="BH111" s="374"/>
      <c r="BI111" s="381"/>
      <c r="BJ111" s="379">
        <v>0</v>
      </c>
      <c r="BK111" s="380"/>
      <c r="BL111" s="373"/>
      <c r="BM111" s="374"/>
      <c r="BN111" s="381"/>
      <c r="BO111" s="379">
        <v>0</v>
      </c>
      <c r="BP111" s="380"/>
      <c r="BQ111" s="373"/>
      <c r="BR111" s="374"/>
      <c r="BS111" s="378"/>
      <c r="BT111" s="379">
        <f>SUM(L111:BO111)</f>
        <v>0</v>
      </c>
      <c r="BU111" s="380"/>
      <c r="BV111" s="373"/>
      <c r="BW111" s="9"/>
      <c r="BX111" s="10"/>
      <c r="BY111" s="10"/>
    </row>
    <row r="112" spans="4:77" x14ac:dyDescent="0.2">
      <c r="D112" s="9"/>
      <c r="E112" s="156"/>
      <c r="G112" s="373"/>
      <c r="H112" s="373"/>
      <c r="I112" s="373"/>
      <c r="J112" s="374"/>
      <c r="L112" s="373"/>
      <c r="M112" s="373"/>
      <c r="N112" s="373"/>
      <c r="O112" s="374"/>
      <c r="Q112" s="373"/>
      <c r="R112" s="373"/>
      <c r="S112" s="373"/>
      <c r="T112" s="374"/>
      <c r="V112" s="373"/>
      <c r="W112" s="373"/>
      <c r="X112" s="373"/>
      <c r="Y112" s="374"/>
      <c r="AA112" s="373"/>
      <c r="AB112" s="373"/>
      <c r="AC112" s="373"/>
      <c r="AD112" s="374"/>
      <c r="AF112" s="373"/>
      <c r="AG112" s="373"/>
      <c r="AH112" s="373"/>
      <c r="AI112" s="374"/>
      <c r="AK112" s="373"/>
      <c r="AL112" s="373"/>
      <c r="AM112" s="373"/>
      <c r="AN112" s="374"/>
      <c r="AP112" s="373"/>
      <c r="AQ112" s="373"/>
      <c r="AR112" s="373"/>
      <c r="AS112" s="374"/>
      <c r="AU112" s="373"/>
      <c r="AV112" s="373"/>
      <c r="AW112" s="373"/>
      <c r="AX112" s="374"/>
      <c r="AZ112" s="373"/>
      <c r="BA112" s="373"/>
      <c r="BB112" s="373"/>
      <c r="BC112" s="374"/>
      <c r="BE112" s="373"/>
      <c r="BF112" s="373"/>
      <c r="BG112" s="373"/>
      <c r="BH112" s="374"/>
      <c r="BJ112" s="373"/>
      <c r="BK112" s="373"/>
      <c r="BL112" s="373"/>
      <c r="BM112" s="374"/>
      <c r="BO112" s="373"/>
      <c r="BP112" s="373"/>
      <c r="BQ112" s="373"/>
      <c r="BR112" s="374"/>
      <c r="BT112" s="373"/>
      <c r="BU112" s="373"/>
      <c r="BV112" s="373"/>
      <c r="BW112" s="9"/>
      <c r="BX112" s="10"/>
      <c r="BY112" s="10"/>
    </row>
    <row r="113" spans="4:77" hidden="1" x14ac:dyDescent="0.2">
      <c r="D113" s="9" t="s">
        <v>369</v>
      </c>
      <c r="E113" s="156"/>
      <c r="G113" s="373">
        <f>SUM(G114:G114)</f>
        <v>0</v>
      </c>
      <c r="H113" s="373"/>
      <c r="I113" s="373"/>
      <c r="J113" s="374"/>
      <c r="K113" s="373"/>
      <c r="L113" s="373">
        <f>SUM(L114:L114)</f>
        <v>0</v>
      </c>
      <c r="M113" s="373"/>
      <c r="N113" s="373"/>
      <c r="O113" s="374"/>
      <c r="P113" s="373"/>
      <c r="Q113" s="373">
        <f>SUM(Q114:Q114)</f>
        <v>0</v>
      </c>
      <c r="R113" s="373"/>
      <c r="S113" s="373"/>
      <c r="T113" s="374"/>
      <c r="U113" s="373"/>
      <c r="V113" s="373">
        <f>SUM(V114:V114)</f>
        <v>0</v>
      </c>
      <c r="W113" s="373"/>
      <c r="X113" s="373"/>
      <c r="Y113" s="374"/>
      <c r="Z113" s="373"/>
      <c r="AA113" s="373">
        <f>SUM(AA114:AA114)</f>
        <v>0</v>
      </c>
      <c r="AB113" s="373"/>
      <c r="AC113" s="373"/>
      <c r="AD113" s="374"/>
      <c r="AE113" s="373"/>
      <c r="AF113" s="373">
        <f>SUM(AF114:AF114)</f>
        <v>0</v>
      </c>
      <c r="AG113" s="373"/>
      <c r="AH113" s="373"/>
      <c r="AI113" s="374"/>
      <c r="AJ113" s="373"/>
      <c r="AK113" s="373">
        <f>SUM(AK114:AK114)</f>
        <v>0</v>
      </c>
      <c r="AL113" s="373"/>
      <c r="AM113" s="373"/>
      <c r="AN113" s="374"/>
      <c r="AO113" s="373"/>
      <c r="AP113" s="373">
        <f>SUM(AP114:AP114)</f>
        <v>0</v>
      </c>
      <c r="AQ113" s="373"/>
      <c r="AR113" s="373"/>
      <c r="AS113" s="374"/>
      <c r="AT113" s="373"/>
      <c r="AU113" s="373">
        <f>SUM(AU114:AU114)</f>
        <v>0</v>
      </c>
      <c r="AV113" s="373"/>
      <c r="AW113" s="373"/>
      <c r="AX113" s="374"/>
      <c r="AY113" s="373"/>
      <c r="AZ113" s="373">
        <f>SUM(AZ114:AZ114)</f>
        <v>0</v>
      </c>
      <c r="BA113" s="373"/>
      <c r="BB113" s="373"/>
      <c r="BC113" s="374"/>
      <c r="BD113" s="373"/>
      <c r="BE113" s="373">
        <f>SUM(BE114:BE114)</f>
        <v>0</v>
      </c>
      <c r="BF113" s="373"/>
      <c r="BG113" s="373"/>
      <c r="BH113" s="374"/>
      <c r="BI113" s="373"/>
      <c r="BJ113" s="373">
        <f>SUM(BJ114:BJ114)</f>
        <v>0</v>
      </c>
      <c r="BK113" s="373"/>
      <c r="BL113" s="373"/>
      <c r="BM113" s="374"/>
      <c r="BN113" s="373"/>
      <c r="BO113" s="373">
        <f>SUM(BO114:BO114)</f>
        <v>0</v>
      </c>
      <c r="BP113" s="373"/>
      <c r="BQ113" s="373"/>
      <c r="BR113" s="374"/>
      <c r="BT113" s="373">
        <f>SUM(BT114:BT114)</f>
        <v>0</v>
      </c>
      <c r="BU113" s="373"/>
      <c r="BV113" s="373"/>
      <c r="BW113" s="9"/>
      <c r="BX113" s="10"/>
      <c r="BY113" s="10"/>
    </row>
    <row r="114" spans="4:77" hidden="1" x14ac:dyDescent="0.2">
      <c r="D114" s="9" t="s">
        <v>343</v>
      </c>
      <c r="E114" s="156"/>
      <c r="F114" s="378"/>
      <c r="G114" s="379">
        <v>0</v>
      </c>
      <c r="H114" s="380"/>
      <c r="I114" s="373"/>
      <c r="J114" s="374"/>
      <c r="K114" s="378"/>
      <c r="L114" s="379">
        <v>0</v>
      </c>
      <c r="M114" s="380"/>
      <c r="N114" s="373"/>
      <c r="O114" s="374"/>
      <c r="P114" s="381"/>
      <c r="Q114" s="379">
        <v>0</v>
      </c>
      <c r="R114" s="380"/>
      <c r="S114" s="373"/>
      <c r="T114" s="374"/>
      <c r="U114" s="381"/>
      <c r="V114" s="379">
        <v>0</v>
      </c>
      <c r="W114" s="380"/>
      <c r="X114" s="373"/>
      <c r="Y114" s="374"/>
      <c r="Z114" s="381"/>
      <c r="AA114" s="379">
        <v>0</v>
      </c>
      <c r="AB114" s="380"/>
      <c r="AC114" s="373"/>
      <c r="AD114" s="374"/>
      <c r="AE114" s="381"/>
      <c r="AF114" s="379">
        <v>0</v>
      </c>
      <c r="AG114" s="380"/>
      <c r="AH114" s="373"/>
      <c r="AI114" s="374"/>
      <c r="AJ114" s="381"/>
      <c r="AK114" s="379">
        <v>0</v>
      </c>
      <c r="AL114" s="380"/>
      <c r="AM114" s="373"/>
      <c r="AN114" s="374"/>
      <c r="AO114" s="381"/>
      <c r="AP114" s="379">
        <v>0</v>
      </c>
      <c r="AQ114" s="380"/>
      <c r="AR114" s="373"/>
      <c r="AS114" s="374"/>
      <c r="AT114" s="381"/>
      <c r="AU114" s="379">
        <v>0</v>
      </c>
      <c r="AV114" s="380"/>
      <c r="AW114" s="373"/>
      <c r="AX114" s="374"/>
      <c r="AY114" s="381"/>
      <c r="AZ114" s="379">
        <v>0</v>
      </c>
      <c r="BA114" s="380"/>
      <c r="BB114" s="373"/>
      <c r="BC114" s="374"/>
      <c r="BD114" s="381"/>
      <c r="BE114" s="379">
        <v>0</v>
      </c>
      <c r="BF114" s="380"/>
      <c r="BG114" s="373"/>
      <c r="BH114" s="374"/>
      <c r="BI114" s="381"/>
      <c r="BJ114" s="379">
        <v>0</v>
      </c>
      <c r="BK114" s="380"/>
      <c r="BL114" s="373"/>
      <c r="BM114" s="374"/>
      <c r="BN114" s="381"/>
      <c r="BO114" s="379">
        <v>0</v>
      </c>
      <c r="BP114" s="380"/>
      <c r="BQ114" s="373"/>
      <c r="BR114" s="374"/>
      <c r="BS114" s="378"/>
      <c r="BT114" s="379">
        <f>SUM(L114:BO114)</f>
        <v>0</v>
      </c>
      <c r="BU114" s="380"/>
      <c r="BV114" s="373"/>
      <c r="BW114" s="9"/>
      <c r="BX114" s="10"/>
      <c r="BY114" s="10"/>
    </row>
    <row r="115" spans="4:77" hidden="1" x14ac:dyDescent="0.2">
      <c r="D115" s="9"/>
      <c r="E115" s="156"/>
      <c r="G115" s="373"/>
      <c r="H115" s="373"/>
      <c r="I115" s="373"/>
      <c r="J115" s="374"/>
      <c r="L115" s="373"/>
      <c r="M115" s="373"/>
      <c r="N115" s="373"/>
      <c r="O115" s="374"/>
      <c r="Q115" s="373"/>
      <c r="R115" s="373"/>
      <c r="S115" s="373"/>
      <c r="T115" s="374"/>
      <c r="V115" s="373"/>
      <c r="W115" s="373"/>
      <c r="X115" s="373"/>
      <c r="Y115" s="374"/>
      <c r="AA115" s="373"/>
      <c r="AB115" s="373"/>
      <c r="AC115" s="373"/>
      <c r="AD115" s="374"/>
      <c r="AF115" s="373"/>
      <c r="AG115" s="373"/>
      <c r="AH115" s="373"/>
      <c r="AI115" s="374"/>
      <c r="AK115" s="373"/>
      <c r="AL115" s="373"/>
      <c r="AM115" s="373"/>
      <c r="AN115" s="374"/>
      <c r="AP115" s="373"/>
      <c r="AQ115" s="373"/>
      <c r="AR115" s="373"/>
      <c r="AS115" s="374"/>
      <c r="AU115" s="373"/>
      <c r="AV115" s="373"/>
      <c r="AW115" s="373"/>
      <c r="AX115" s="374"/>
      <c r="AZ115" s="373"/>
      <c r="BA115" s="373"/>
      <c r="BB115" s="373"/>
      <c r="BC115" s="374"/>
      <c r="BE115" s="373"/>
      <c r="BF115" s="373"/>
      <c r="BG115" s="373"/>
      <c r="BH115" s="374"/>
      <c r="BJ115" s="373"/>
      <c r="BK115" s="373"/>
      <c r="BL115" s="373"/>
      <c r="BM115" s="374"/>
      <c r="BO115" s="373"/>
      <c r="BP115" s="373"/>
      <c r="BQ115" s="373"/>
      <c r="BR115" s="374"/>
      <c r="BT115" s="373"/>
      <c r="BU115" s="373"/>
      <c r="BV115" s="373"/>
      <c r="BW115" s="9"/>
      <c r="BX115" s="10"/>
      <c r="BY115" s="10"/>
    </row>
    <row r="116" spans="4:77" x14ac:dyDescent="0.2">
      <c r="D116" s="9" t="s">
        <v>409</v>
      </c>
      <c r="E116" s="156"/>
      <c r="G116" s="373">
        <f>SUM(G117:G117)</f>
        <v>0</v>
      </c>
      <c r="H116" s="373"/>
      <c r="I116" s="373"/>
      <c r="J116" s="374"/>
      <c r="K116" s="373"/>
      <c r="L116" s="373">
        <f>SUM(L117:L117)</f>
        <v>0</v>
      </c>
      <c r="M116" s="373"/>
      <c r="N116" s="373"/>
      <c r="O116" s="374"/>
      <c r="P116" s="373"/>
      <c r="Q116" s="373">
        <f>SUM(Q117:Q117)</f>
        <v>0</v>
      </c>
      <c r="R116" s="373"/>
      <c r="S116" s="373"/>
      <c r="T116" s="374"/>
      <c r="U116" s="373"/>
      <c r="V116" s="373">
        <f>SUM(V117:V117)</f>
        <v>0</v>
      </c>
      <c r="W116" s="373"/>
      <c r="X116" s="373"/>
      <c r="Y116" s="374"/>
      <c r="Z116" s="373"/>
      <c r="AA116" s="373">
        <f>SUM(AA117:AA117)</f>
        <v>0</v>
      </c>
      <c r="AB116" s="373"/>
      <c r="AC116" s="373"/>
      <c r="AD116" s="374"/>
      <c r="AE116" s="373"/>
      <c r="AF116" s="373">
        <f>SUM(AF117:AF117)</f>
        <v>0</v>
      </c>
      <c r="AG116" s="373"/>
      <c r="AH116" s="373"/>
      <c r="AI116" s="374"/>
      <c r="AJ116" s="373"/>
      <c r="AK116" s="373">
        <f>SUM(AK117:AK117)</f>
        <v>0</v>
      </c>
      <c r="AL116" s="373"/>
      <c r="AM116" s="373"/>
      <c r="AN116" s="374"/>
      <c r="AO116" s="373"/>
      <c r="AP116" s="373">
        <f>SUM(AP117:AP117)</f>
        <v>0</v>
      </c>
      <c r="AQ116" s="373"/>
      <c r="AR116" s="373"/>
      <c r="AS116" s="374"/>
      <c r="AT116" s="373"/>
      <c r="AU116" s="373">
        <f>SUM(AU117:AU117)</f>
        <v>0</v>
      </c>
      <c r="AV116" s="373"/>
      <c r="AW116" s="373"/>
      <c r="AX116" s="374"/>
      <c r="AY116" s="373"/>
      <c r="AZ116" s="373">
        <f>SUM(AZ117:AZ117)</f>
        <v>0</v>
      </c>
      <c r="BA116" s="373"/>
      <c r="BB116" s="373"/>
      <c r="BC116" s="374"/>
      <c r="BD116" s="373"/>
      <c r="BE116" s="373">
        <f>SUM(BE117:BE117)</f>
        <v>0</v>
      </c>
      <c r="BF116" s="373"/>
      <c r="BG116" s="373"/>
      <c r="BH116" s="374"/>
      <c r="BI116" s="373"/>
      <c r="BJ116" s="373">
        <f>SUM(BJ117:BJ117)</f>
        <v>0</v>
      </c>
      <c r="BK116" s="373"/>
      <c r="BL116" s="373"/>
      <c r="BM116" s="374"/>
      <c r="BN116" s="373"/>
      <c r="BO116" s="373">
        <f>SUM(BO117:BO117)</f>
        <v>0</v>
      </c>
      <c r="BP116" s="373"/>
      <c r="BQ116" s="373"/>
      <c r="BR116" s="374"/>
      <c r="BT116" s="373">
        <f>SUM(BT117:BT117)</f>
        <v>0</v>
      </c>
      <c r="BU116" s="373"/>
      <c r="BV116" s="373"/>
      <c r="BW116" s="9"/>
      <c r="BX116" s="10"/>
      <c r="BY116" s="10"/>
    </row>
    <row r="117" spans="4:77" x14ac:dyDescent="0.2">
      <c r="D117" s="9" t="s">
        <v>343</v>
      </c>
      <c r="E117" s="156"/>
      <c r="F117" s="378"/>
      <c r="G117" s="379">
        <v>0</v>
      </c>
      <c r="H117" s="380"/>
      <c r="I117" s="373"/>
      <c r="J117" s="374"/>
      <c r="K117" s="378"/>
      <c r="L117" s="379">
        <v>0</v>
      </c>
      <c r="M117" s="380"/>
      <c r="N117" s="373"/>
      <c r="O117" s="374"/>
      <c r="P117" s="381"/>
      <c r="Q117" s="379">
        <v>0</v>
      </c>
      <c r="R117" s="380"/>
      <c r="S117" s="373"/>
      <c r="T117" s="374"/>
      <c r="U117" s="381"/>
      <c r="V117" s="379">
        <v>0</v>
      </c>
      <c r="W117" s="380"/>
      <c r="X117" s="373"/>
      <c r="Y117" s="374"/>
      <c r="Z117" s="381"/>
      <c r="AA117" s="379">
        <v>0</v>
      </c>
      <c r="AB117" s="380"/>
      <c r="AC117" s="373"/>
      <c r="AD117" s="374"/>
      <c r="AE117" s="381"/>
      <c r="AF117" s="379">
        <v>0</v>
      </c>
      <c r="AG117" s="380"/>
      <c r="AH117" s="373"/>
      <c r="AI117" s="374"/>
      <c r="AJ117" s="381"/>
      <c r="AK117" s="379">
        <v>0</v>
      </c>
      <c r="AL117" s="380"/>
      <c r="AM117" s="373"/>
      <c r="AN117" s="374"/>
      <c r="AO117" s="381"/>
      <c r="AP117" s="379">
        <v>0</v>
      </c>
      <c r="AQ117" s="380"/>
      <c r="AR117" s="373"/>
      <c r="AS117" s="374"/>
      <c r="AT117" s="381"/>
      <c r="AU117" s="379">
        <v>0</v>
      </c>
      <c r="AV117" s="380"/>
      <c r="AW117" s="373"/>
      <c r="AX117" s="374"/>
      <c r="AY117" s="381"/>
      <c r="AZ117" s="379">
        <v>0</v>
      </c>
      <c r="BA117" s="380"/>
      <c r="BB117" s="373"/>
      <c r="BC117" s="374"/>
      <c r="BD117" s="381"/>
      <c r="BE117" s="379">
        <v>0</v>
      </c>
      <c r="BF117" s="380"/>
      <c r="BG117" s="373"/>
      <c r="BH117" s="374"/>
      <c r="BI117" s="381"/>
      <c r="BJ117" s="379">
        <v>0</v>
      </c>
      <c r="BK117" s="380"/>
      <c r="BL117" s="373"/>
      <c r="BM117" s="374"/>
      <c r="BN117" s="381"/>
      <c r="BO117" s="379">
        <v>0</v>
      </c>
      <c r="BP117" s="380"/>
      <c r="BQ117" s="373"/>
      <c r="BR117" s="374"/>
      <c r="BS117" s="378"/>
      <c r="BT117" s="379">
        <f>SUM(L117:BO117)</f>
        <v>0</v>
      </c>
      <c r="BU117" s="380"/>
      <c r="BV117" s="373"/>
      <c r="BW117" s="9"/>
      <c r="BX117" s="10"/>
      <c r="BY117" s="10"/>
    </row>
    <row r="118" spans="4:77" x14ac:dyDescent="0.2">
      <c r="D118" s="9"/>
      <c r="E118" s="156"/>
      <c r="G118" s="373"/>
      <c r="H118" s="373"/>
      <c r="I118" s="373"/>
      <c r="J118" s="374"/>
      <c r="L118" s="373"/>
      <c r="M118" s="373"/>
      <c r="N118" s="373"/>
      <c r="O118" s="374"/>
      <c r="Q118" s="373"/>
      <c r="R118" s="373"/>
      <c r="S118" s="373"/>
      <c r="T118" s="374"/>
      <c r="V118" s="373"/>
      <c r="W118" s="373"/>
      <c r="X118" s="373"/>
      <c r="Y118" s="374"/>
      <c r="AA118" s="373"/>
      <c r="AB118" s="373"/>
      <c r="AC118" s="373"/>
      <c r="AD118" s="374"/>
      <c r="AF118" s="373"/>
      <c r="AG118" s="373"/>
      <c r="AH118" s="373"/>
      <c r="AI118" s="374"/>
      <c r="AK118" s="373"/>
      <c r="AL118" s="373"/>
      <c r="AM118" s="373"/>
      <c r="AN118" s="374"/>
      <c r="AP118" s="373"/>
      <c r="AQ118" s="373"/>
      <c r="AR118" s="373"/>
      <c r="AS118" s="374"/>
      <c r="AU118" s="373"/>
      <c r="AV118" s="373"/>
      <c r="AW118" s="373"/>
      <c r="AX118" s="374"/>
      <c r="AZ118" s="373"/>
      <c r="BA118" s="373"/>
      <c r="BB118" s="373"/>
      <c r="BC118" s="374"/>
      <c r="BE118" s="373"/>
      <c r="BF118" s="373"/>
      <c r="BG118" s="373"/>
      <c r="BH118" s="374"/>
      <c r="BJ118" s="373"/>
      <c r="BK118" s="373"/>
      <c r="BL118" s="373"/>
      <c r="BM118" s="374"/>
      <c r="BO118" s="373"/>
      <c r="BP118" s="373"/>
      <c r="BQ118" s="373"/>
      <c r="BR118" s="374"/>
      <c r="BT118" s="373"/>
      <c r="BU118" s="373"/>
      <c r="BV118" s="373"/>
      <c r="BW118" s="9"/>
      <c r="BX118" s="10"/>
      <c r="BY118" s="10"/>
    </row>
    <row r="119" spans="4:77" x14ac:dyDescent="0.2">
      <c r="D119" s="9" t="s">
        <v>371</v>
      </c>
      <c r="E119" s="156"/>
      <c r="G119" s="373">
        <f>SUM(G120:G120)</f>
        <v>0</v>
      </c>
      <c r="H119" s="373"/>
      <c r="I119" s="373"/>
      <c r="J119" s="374"/>
      <c r="K119" s="373"/>
      <c r="L119" s="373">
        <f>SUM(L120:L120)</f>
        <v>0</v>
      </c>
      <c r="M119" s="373"/>
      <c r="N119" s="373"/>
      <c r="O119" s="374"/>
      <c r="P119" s="373"/>
      <c r="Q119" s="373">
        <f>SUM(Q120:Q120)</f>
        <v>0</v>
      </c>
      <c r="R119" s="373"/>
      <c r="S119" s="373"/>
      <c r="T119" s="374"/>
      <c r="U119" s="373"/>
      <c r="V119" s="373">
        <f>SUM(V120:V120)</f>
        <v>0</v>
      </c>
      <c r="W119" s="373"/>
      <c r="X119" s="373"/>
      <c r="Y119" s="374"/>
      <c r="Z119" s="373"/>
      <c r="AA119" s="373">
        <f>SUM(AA120:AA120)</f>
        <v>0</v>
      </c>
      <c r="AB119" s="373"/>
      <c r="AC119" s="373"/>
      <c r="AD119" s="374"/>
      <c r="AE119" s="373"/>
      <c r="AF119" s="373">
        <f>SUM(AF120:AF120)</f>
        <v>0</v>
      </c>
      <c r="AG119" s="373"/>
      <c r="AH119" s="373"/>
      <c r="AI119" s="374"/>
      <c r="AJ119" s="373"/>
      <c r="AK119" s="373">
        <f>SUM(AK120:AK120)</f>
        <v>0</v>
      </c>
      <c r="AL119" s="373"/>
      <c r="AM119" s="373"/>
      <c r="AN119" s="374"/>
      <c r="AO119" s="373"/>
      <c r="AP119" s="373">
        <f>SUM(AP120:AP120)</f>
        <v>0</v>
      </c>
      <c r="AQ119" s="373"/>
      <c r="AR119" s="373"/>
      <c r="AS119" s="374"/>
      <c r="AT119" s="373"/>
      <c r="AU119" s="373">
        <f>SUM(AU120:AU120)</f>
        <v>0</v>
      </c>
      <c r="AV119" s="373"/>
      <c r="AW119" s="373"/>
      <c r="AX119" s="374"/>
      <c r="AY119" s="373"/>
      <c r="AZ119" s="373">
        <f>SUM(AZ120:AZ120)</f>
        <v>0</v>
      </c>
      <c r="BA119" s="373"/>
      <c r="BB119" s="373"/>
      <c r="BC119" s="374"/>
      <c r="BD119" s="373"/>
      <c r="BE119" s="373">
        <f>SUM(BE120:BE120)</f>
        <v>0</v>
      </c>
      <c r="BF119" s="373"/>
      <c r="BG119" s="373"/>
      <c r="BH119" s="374"/>
      <c r="BI119" s="373"/>
      <c r="BJ119" s="373">
        <f>SUM(BJ120:BJ120)</f>
        <v>0</v>
      </c>
      <c r="BK119" s="373"/>
      <c r="BL119" s="373"/>
      <c r="BM119" s="374"/>
      <c r="BN119" s="373"/>
      <c r="BO119" s="373">
        <f>SUM(BO120:BO120)</f>
        <v>0</v>
      </c>
      <c r="BP119" s="373"/>
      <c r="BQ119" s="373"/>
      <c r="BR119" s="374"/>
      <c r="BT119" s="373">
        <f>SUM(BT120:BT120)</f>
        <v>0</v>
      </c>
      <c r="BU119" s="373"/>
      <c r="BV119" s="373"/>
      <c r="BW119" s="9"/>
      <c r="BX119" s="10"/>
      <c r="BY119" s="10"/>
    </row>
    <row r="120" spans="4:77" x14ac:dyDescent="0.2">
      <c r="D120" s="9" t="s">
        <v>343</v>
      </c>
      <c r="E120" s="156"/>
      <c r="F120" s="378"/>
      <c r="G120" s="379">
        <v>0</v>
      </c>
      <c r="H120" s="380"/>
      <c r="I120" s="373"/>
      <c r="J120" s="374"/>
      <c r="K120" s="378"/>
      <c r="L120" s="379">
        <v>0</v>
      </c>
      <c r="M120" s="380"/>
      <c r="N120" s="373"/>
      <c r="O120" s="374"/>
      <c r="P120" s="381"/>
      <c r="Q120" s="379">
        <v>0</v>
      </c>
      <c r="R120" s="380"/>
      <c r="S120" s="373"/>
      <c r="T120" s="374"/>
      <c r="U120" s="381"/>
      <c r="V120" s="379">
        <v>0</v>
      </c>
      <c r="W120" s="380"/>
      <c r="X120" s="373"/>
      <c r="Y120" s="374"/>
      <c r="Z120" s="381"/>
      <c r="AA120" s="379">
        <v>0</v>
      </c>
      <c r="AB120" s="380"/>
      <c r="AC120" s="373"/>
      <c r="AD120" s="374"/>
      <c r="AE120" s="381"/>
      <c r="AF120" s="379">
        <v>0</v>
      </c>
      <c r="AG120" s="380"/>
      <c r="AH120" s="373"/>
      <c r="AI120" s="374"/>
      <c r="AJ120" s="381"/>
      <c r="AK120" s="379">
        <v>0</v>
      </c>
      <c r="AL120" s="380"/>
      <c r="AM120" s="373"/>
      <c r="AN120" s="374"/>
      <c r="AO120" s="381"/>
      <c r="AP120" s="379">
        <v>0</v>
      </c>
      <c r="AQ120" s="380"/>
      <c r="AR120" s="373"/>
      <c r="AS120" s="374"/>
      <c r="AT120" s="381"/>
      <c r="AU120" s="379">
        <v>0</v>
      </c>
      <c r="AV120" s="380"/>
      <c r="AW120" s="373"/>
      <c r="AX120" s="374"/>
      <c r="AY120" s="381"/>
      <c r="AZ120" s="379">
        <v>0</v>
      </c>
      <c r="BA120" s="380"/>
      <c r="BB120" s="373"/>
      <c r="BC120" s="374"/>
      <c r="BD120" s="381"/>
      <c r="BE120" s="379">
        <v>0</v>
      </c>
      <c r="BF120" s="380"/>
      <c r="BG120" s="373"/>
      <c r="BH120" s="374"/>
      <c r="BI120" s="381"/>
      <c r="BJ120" s="379">
        <v>0</v>
      </c>
      <c r="BK120" s="380"/>
      <c r="BL120" s="373"/>
      <c r="BM120" s="374"/>
      <c r="BN120" s="381"/>
      <c r="BO120" s="379">
        <v>0</v>
      </c>
      <c r="BP120" s="380"/>
      <c r="BQ120" s="373"/>
      <c r="BR120" s="374"/>
      <c r="BS120" s="378"/>
      <c r="BT120" s="379">
        <f>SUM(L120:BO120)</f>
        <v>0</v>
      </c>
      <c r="BU120" s="380"/>
      <c r="BV120" s="373"/>
      <c r="BW120" s="9"/>
      <c r="BX120" s="10"/>
      <c r="BY120" s="10"/>
    </row>
    <row r="121" spans="4:77" hidden="1" x14ac:dyDescent="0.2">
      <c r="D121" s="383"/>
      <c r="E121" s="156"/>
      <c r="G121" s="373"/>
      <c r="H121" s="373"/>
      <c r="I121" s="373"/>
      <c r="J121" s="374"/>
      <c r="K121" s="373"/>
      <c r="L121" s="373"/>
      <c r="M121" s="373"/>
      <c r="N121" s="373"/>
      <c r="O121" s="374"/>
      <c r="P121" s="373"/>
      <c r="Q121" s="373"/>
      <c r="R121" s="373"/>
      <c r="S121" s="373"/>
      <c r="T121" s="374"/>
      <c r="U121" s="373"/>
      <c r="V121" s="373"/>
      <c r="W121" s="373"/>
      <c r="X121" s="373"/>
      <c r="Y121" s="374"/>
      <c r="Z121" s="373"/>
      <c r="AA121" s="373"/>
      <c r="AB121" s="373"/>
      <c r="AC121" s="373"/>
      <c r="AD121" s="374"/>
      <c r="AE121" s="373"/>
      <c r="AF121" s="373"/>
      <c r="AG121" s="373"/>
      <c r="AH121" s="373"/>
      <c r="AI121" s="374"/>
      <c r="AJ121" s="373"/>
      <c r="AK121" s="373"/>
      <c r="AL121" s="373"/>
      <c r="AM121" s="373"/>
      <c r="AN121" s="374"/>
      <c r="AO121" s="373"/>
      <c r="AP121" s="373"/>
      <c r="AQ121" s="373"/>
      <c r="AR121" s="373"/>
      <c r="AS121" s="374"/>
      <c r="AT121" s="373"/>
      <c r="AU121" s="373"/>
      <c r="AV121" s="373"/>
      <c r="AW121" s="373"/>
      <c r="AX121" s="374"/>
      <c r="AY121" s="373"/>
      <c r="AZ121" s="373"/>
      <c r="BA121" s="373"/>
      <c r="BB121" s="373"/>
      <c r="BC121" s="374"/>
      <c r="BD121" s="373"/>
      <c r="BE121" s="373"/>
      <c r="BF121" s="373"/>
      <c r="BG121" s="373"/>
      <c r="BH121" s="374"/>
      <c r="BI121" s="373"/>
      <c r="BJ121" s="373"/>
      <c r="BK121" s="373"/>
      <c r="BL121" s="373"/>
      <c r="BM121" s="374"/>
      <c r="BN121" s="373"/>
      <c r="BO121" s="373"/>
      <c r="BP121" s="373"/>
      <c r="BQ121" s="373"/>
      <c r="BR121" s="374"/>
      <c r="BS121" s="373"/>
      <c r="BT121" s="373"/>
      <c r="BU121" s="373"/>
      <c r="BV121" s="373"/>
      <c r="BW121" s="9"/>
      <c r="BX121" s="10"/>
      <c r="BY121" s="10"/>
    </row>
    <row r="122" spans="4:77" s="10" customFormat="1" hidden="1" x14ac:dyDescent="0.2">
      <c r="D122" s="79" t="s">
        <v>431</v>
      </c>
      <c r="E122" s="145"/>
      <c r="G122" s="368">
        <v>0</v>
      </c>
      <c r="H122" s="368"/>
      <c r="I122" s="368"/>
      <c r="J122" s="369"/>
      <c r="K122" s="368"/>
      <c r="L122" s="368">
        <f>SUM(L123:L125)</f>
        <v>0</v>
      </c>
      <c r="M122" s="368"/>
      <c r="N122" s="368"/>
      <c r="O122" s="369"/>
      <c r="P122" s="368"/>
      <c r="Q122" s="368">
        <f>SUM(Q123:Q125)</f>
        <v>0</v>
      </c>
      <c r="R122" s="368"/>
      <c r="S122" s="368"/>
      <c r="T122" s="369"/>
      <c r="U122" s="368"/>
      <c r="V122" s="368">
        <f>SUM(V123:V125)</f>
        <v>0</v>
      </c>
      <c r="W122" s="368"/>
      <c r="X122" s="368"/>
      <c r="Y122" s="369"/>
      <c r="Z122" s="368"/>
      <c r="AA122" s="368">
        <f>SUM(AA123:AA125)</f>
        <v>0</v>
      </c>
      <c r="AB122" s="368"/>
      <c r="AC122" s="368"/>
      <c r="AD122" s="369"/>
      <c r="AE122" s="368"/>
      <c r="AF122" s="368">
        <f>SUM(AF123:AF125)</f>
        <v>0</v>
      </c>
      <c r="AG122" s="368"/>
      <c r="AH122" s="368"/>
      <c r="AI122" s="369"/>
      <c r="AJ122" s="368"/>
      <c r="AK122" s="368">
        <f>SUM(AK123:AK125)</f>
        <v>0</v>
      </c>
      <c r="AL122" s="368"/>
      <c r="AM122" s="368"/>
      <c r="AN122" s="369"/>
      <c r="AO122" s="368"/>
      <c r="AP122" s="368">
        <f>SUM(AP123:AP125)</f>
        <v>0</v>
      </c>
      <c r="AQ122" s="368"/>
      <c r="AR122" s="368"/>
      <c r="AS122" s="369"/>
      <c r="AT122" s="368"/>
      <c r="AU122" s="368">
        <f>SUM(AU123:AU125)</f>
        <v>0</v>
      </c>
      <c r="AV122" s="368"/>
      <c r="AW122" s="368"/>
      <c r="AX122" s="369"/>
      <c r="AY122" s="368"/>
      <c r="AZ122" s="368">
        <f>SUM(AZ123:AZ125)</f>
        <v>0</v>
      </c>
      <c r="BA122" s="368"/>
      <c r="BB122" s="368"/>
      <c r="BC122" s="369"/>
      <c r="BD122" s="368"/>
      <c r="BE122" s="368">
        <f>SUM(BE123:BE125)</f>
        <v>0</v>
      </c>
      <c r="BF122" s="368"/>
      <c r="BG122" s="368"/>
      <c r="BH122" s="369"/>
      <c r="BI122" s="368"/>
      <c r="BJ122" s="368">
        <f>SUM(BJ123:BJ125)</f>
        <v>0</v>
      </c>
      <c r="BK122" s="368"/>
      <c r="BL122" s="368"/>
      <c r="BM122" s="369"/>
      <c r="BN122" s="368"/>
      <c r="BO122" s="368">
        <f>SUM(BO123:BO125)</f>
        <v>0</v>
      </c>
      <c r="BP122" s="368"/>
      <c r="BQ122" s="368"/>
      <c r="BR122" s="369"/>
      <c r="BS122" s="368"/>
      <c r="BT122" s="368">
        <f>SUM(BT123:BT125)</f>
        <v>0</v>
      </c>
      <c r="BU122" s="368"/>
      <c r="BV122" s="368"/>
      <c r="BW122" s="79"/>
    </row>
    <row r="123" spans="4:77" hidden="1" x14ac:dyDescent="0.2">
      <c r="D123" s="9" t="s">
        <v>343</v>
      </c>
      <c r="E123" s="156"/>
      <c r="F123" s="309"/>
      <c r="G123" s="371">
        <f>G133+G153</f>
        <v>0</v>
      </c>
      <c r="H123" s="372"/>
      <c r="I123" s="373"/>
      <c r="J123" s="374"/>
      <c r="K123" s="375"/>
      <c r="L123" s="371">
        <f>L133+L153</f>
        <v>0</v>
      </c>
      <c r="M123" s="372"/>
      <c r="N123" s="373"/>
      <c r="O123" s="374"/>
      <c r="P123" s="375"/>
      <c r="Q123" s="371">
        <f>Q133+Q153</f>
        <v>0</v>
      </c>
      <c r="R123" s="372"/>
      <c r="S123" s="373"/>
      <c r="T123" s="374"/>
      <c r="U123" s="375"/>
      <c r="V123" s="371">
        <f>V133+V153</f>
        <v>0</v>
      </c>
      <c r="W123" s="372"/>
      <c r="X123" s="373"/>
      <c r="Y123" s="374"/>
      <c r="Z123" s="375"/>
      <c r="AA123" s="371">
        <f>AA133+AA153</f>
        <v>0</v>
      </c>
      <c r="AB123" s="372"/>
      <c r="AC123" s="373"/>
      <c r="AD123" s="374"/>
      <c r="AE123" s="375"/>
      <c r="AF123" s="371">
        <f>AF133+AF153</f>
        <v>0</v>
      </c>
      <c r="AG123" s="372"/>
      <c r="AH123" s="373"/>
      <c r="AI123" s="374"/>
      <c r="AJ123" s="375"/>
      <c r="AK123" s="371">
        <f>AK133+AK153</f>
        <v>0</v>
      </c>
      <c r="AL123" s="372"/>
      <c r="AM123" s="373"/>
      <c r="AN123" s="374"/>
      <c r="AO123" s="375"/>
      <c r="AP123" s="371">
        <f>AP133+AP153</f>
        <v>0</v>
      </c>
      <c r="AQ123" s="372"/>
      <c r="AR123" s="373"/>
      <c r="AS123" s="374"/>
      <c r="AT123" s="375"/>
      <c r="AU123" s="371">
        <f>AU133+AU153</f>
        <v>0</v>
      </c>
      <c r="AV123" s="372"/>
      <c r="AW123" s="373"/>
      <c r="AX123" s="374"/>
      <c r="AY123" s="375"/>
      <c r="AZ123" s="371">
        <f>AZ133+AZ153</f>
        <v>0</v>
      </c>
      <c r="BA123" s="372"/>
      <c r="BB123" s="373"/>
      <c r="BC123" s="374"/>
      <c r="BD123" s="375"/>
      <c r="BE123" s="371">
        <f>BE133+BE153</f>
        <v>0</v>
      </c>
      <c r="BF123" s="372"/>
      <c r="BG123" s="373"/>
      <c r="BH123" s="374"/>
      <c r="BI123" s="375"/>
      <c r="BJ123" s="371">
        <f>BJ133+BJ153</f>
        <v>0</v>
      </c>
      <c r="BK123" s="372"/>
      <c r="BL123" s="373"/>
      <c r="BM123" s="374"/>
      <c r="BN123" s="375"/>
      <c r="BO123" s="371">
        <f>BO133+BO153</f>
        <v>0</v>
      </c>
      <c r="BP123" s="372"/>
      <c r="BQ123" s="373"/>
      <c r="BR123" s="374"/>
      <c r="BS123" s="375"/>
      <c r="BT123" s="371">
        <f>BT133+BT128+BT153+BT138+BT143+BT148</f>
        <v>0</v>
      </c>
      <c r="BU123" s="372"/>
      <c r="BV123" s="373"/>
      <c r="BW123" s="9"/>
      <c r="BX123" s="10"/>
      <c r="BY123" s="10"/>
    </row>
    <row r="124" spans="4:77" hidden="1" x14ac:dyDescent="0.2">
      <c r="D124" s="9" t="s">
        <v>432</v>
      </c>
      <c r="E124" s="156"/>
      <c r="F124" s="156"/>
      <c r="G124" s="373">
        <f>G134+G154</f>
        <v>0</v>
      </c>
      <c r="H124" s="377"/>
      <c r="I124" s="373"/>
      <c r="J124" s="374"/>
      <c r="K124" s="374"/>
      <c r="L124" s="373">
        <f>L134+L154</f>
        <v>0</v>
      </c>
      <c r="M124" s="377"/>
      <c r="N124" s="373"/>
      <c r="O124" s="374"/>
      <c r="P124" s="374"/>
      <c r="Q124" s="373">
        <f>Q134+Q154</f>
        <v>0</v>
      </c>
      <c r="R124" s="377"/>
      <c r="S124" s="373"/>
      <c r="T124" s="374"/>
      <c r="U124" s="374"/>
      <c r="V124" s="373">
        <f>V134+V154</f>
        <v>0</v>
      </c>
      <c r="W124" s="377"/>
      <c r="X124" s="373"/>
      <c r="Y124" s="374"/>
      <c r="Z124" s="374"/>
      <c r="AA124" s="373">
        <f>AA134+AA154</f>
        <v>0</v>
      </c>
      <c r="AB124" s="377"/>
      <c r="AC124" s="373"/>
      <c r="AD124" s="374"/>
      <c r="AE124" s="374"/>
      <c r="AF124" s="373">
        <f>AF134+AF154</f>
        <v>0</v>
      </c>
      <c r="AG124" s="377"/>
      <c r="AH124" s="373"/>
      <c r="AI124" s="374"/>
      <c r="AJ124" s="374"/>
      <c r="AK124" s="373">
        <f>AK134+AK154</f>
        <v>0</v>
      </c>
      <c r="AL124" s="377"/>
      <c r="AM124" s="373"/>
      <c r="AN124" s="374"/>
      <c r="AO124" s="374"/>
      <c r="AP124" s="373">
        <f>AP134+AP154</f>
        <v>0</v>
      </c>
      <c r="AQ124" s="377"/>
      <c r="AR124" s="373"/>
      <c r="AS124" s="374"/>
      <c r="AT124" s="374"/>
      <c r="AU124" s="373">
        <f>AU134+AU154</f>
        <v>0</v>
      </c>
      <c r="AV124" s="377"/>
      <c r="AW124" s="373"/>
      <c r="AX124" s="374"/>
      <c r="AY124" s="374"/>
      <c r="AZ124" s="373">
        <f>AZ134+AZ154</f>
        <v>0</v>
      </c>
      <c r="BA124" s="377"/>
      <c r="BB124" s="373"/>
      <c r="BC124" s="374"/>
      <c r="BD124" s="374"/>
      <c r="BE124" s="373">
        <f>BE134+BE154</f>
        <v>0</v>
      </c>
      <c r="BF124" s="377"/>
      <c r="BG124" s="373"/>
      <c r="BH124" s="374"/>
      <c r="BI124" s="374"/>
      <c r="BJ124" s="373">
        <f>BJ134+BJ154</f>
        <v>0</v>
      </c>
      <c r="BK124" s="377"/>
      <c r="BL124" s="373"/>
      <c r="BM124" s="374"/>
      <c r="BN124" s="374"/>
      <c r="BO124" s="373">
        <f>BO134+BO154</f>
        <v>0</v>
      </c>
      <c r="BP124" s="377"/>
      <c r="BQ124" s="373"/>
      <c r="BR124" s="374"/>
      <c r="BS124" s="374"/>
      <c r="BT124" s="373">
        <f>BT134+BT129+BT139+BT144+BT154+BT149</f>
        <v>0</v>
      </c>
      <c r="BU124" s="377"/>
      <c r="BV124" s="373"/>
      <c r="BW124" s="9"/>
      <c r="BX124" s="10"/>
      <c r="BY124" s="10"/>
    </row>
    <row r="125" spans="4:77" hidden="1" x14ac:dyDescent="0.2">
      <c r="D125" s="9" t="s">
        <v>433</v>
      </c>
      <c r="E125" s="156"/>
      <c r="F125" s="320"/>
      <c r="G125" s="385">
        <f>G135+G155</f>
        <v>0</v>
      </c>
      <c r="H125" s="386"/>
      <c r="I125" s="373"/>
      <c r="J125" s="374"/>
      <c r="K125" s="387"/>
      <c r="L125" s="385">
        <f>L135+L155</f>
        <v>0</v>
      </c>
      <c r="M125" s="386"/>
      <c r="N125" s="373"/>
      <c r="O125" s="374"/>
      <c r="P125" s="387"/>
      <c r="Q125" s="385">
        <f>Q135+Q155</f>
        <v>0</v>
      </c>
      <c r="R125" s="386"/>
      <c r="S125" s="373"/>
      <c r="T125" s="374"/>
      <c r="U125" s="387"/>
      <c r="V125" s="385">
        <f>V135+V155</f>
        <v>0</v>
      </c>
      <c r="W125" s="386"/>
      <c r="X125" s="373"/>
      <c r="Y125" s="374"/>
      <c r="Z125" s="387"/>
      <c r="AA125" s="385">
        <f>AA135+AA155</f>
        <v>0</v>
      </c>
      <c r="AB125" s="386"/>
      <c r="AC125" s="373"/>
      <c r="AD125" s="374"/>
      <c r="AE125" s="387"/>
      <c r="AF125" s="385">
        <f>AF135+AF155</f>
        <v>0</v>
      </c>
      <c r="AG125" s="386"/>
      <c r="AH125" s="373"/>
      <c r="AI125" s="374"/>
      <c r="AJ125" s="387"/>
      <c r="AK125" s="385">
        <f>AK135+AK155</f>
        <v>0</v>
      </c>
      <c r="AL125" s="386"/>
      <c r="AM125" s="373"/>
      <c r="AN125" s="374"/>
      <c r="AO125" s="387"/>
      <c r="AP125" s="385">
        <f>AP135+AP155</f>
        <v>0</v>
      </c>
      <c r="AQ125" s="386"/>
      <c r="AR125" s="373"/>
      <c r="AS125" s="374"/>
      <c r="AT125" s="387"/>
      <c r="AU125" s="385">
        <f>AU135+AU155</f>
        <v>0</v>
      </c>
      <c r="AV125" s="386"/>
      <c r="AW125" s="373"/>
      <c r="AX125" s="374"/>
      <c r="AY125" s="387"/>
      <c r="AZ125" s="385">
        <f>AZ135+AZ155</f>
        <v>0</v>
      </c>
      <c r="BA125" s="386"/>
      <c r="BB125" s="373"/>
      <c r="BC125" s="374"/>
      <c r="BD125" s="387"/>
      <c r="BE125" s="385">
        <f>BE135+BE155</f>
        <v>0</v>
      </c>
      <c r="BF125" s="386"/>
      <c r="BG125" s="373"/>
      <c r="BH125" s="374"/>
      <c r="BI125" s="387"/>
      <c r="BJ125" s="385">
        <f>BJ135+BJ155</f>
        <v>0</v>
      </c>
      <c r="BK125" s="386"/>
      <c r="BL125" s="373"/>
      <c r="BM125" s="374"/>
      <c r="BN125" s="387"/>
      <c r="BO125" s="385">
        <f>BO135+BO155</f>
        <v>0</v>
      </c>
      <c r="BP125" s="386"/>
      <c r="BQ125" s="373"/>
      <c r="BR125" s="374"/>
      <c r="BS125" s="387"/>
      <c r="BT125" s="385">
        <f>BT135+BT130+BT155+BT140+BT145+BT150</f>
        <v>0</v>
      </c>
      <c r="BU125" s="386"/>
      <c r="BV125" s="373"/>
      <c r="BW125" s="9"/>
      <c r="BX125" s="10"/>
      <c r="BY125" s="10"/>
    </row>
    <row r="126" spans="4:77" hidden="1" x14ac:dyDescent="0.2">
      <c r="D126" s="9"/>
      <c r="E126" s="156"/>
      <c r="G126" s="373"/>
      <c r="H126" s="373"/>
      <c r="I126" s="373"/>
      <c r="J126" s="374"/>
      <c r="K126" s="373"/>
      <c r="L126" s="373"/>
      <c r="M126" s="373"/>
      <c r="N126" s="373"/>
      <c r="O126" s="374"/>
      <c r="P126" s="373"/>
      <c r="Q126" s="373"/>
      <c r="R126" s="373"/>
      <c r="S126" s="373"/>
      <c r="T126" s="374"/>
      <c r="U126" s="373"/>
      <c r="V126" s="373"/>
      <c r="W126" s="373"/>
      <c r="X126" s="373"/>
      <c r="Y126" s="374"/>
      <c r="Z126" s="373"/>
      <c r="AA126" s="373"/>
      <c r="AB126" s="373"/>
      <c r="AC126" s="373"/>
      <c r="AD126" s="374"/>
      <c r="AE126" s="373"/>
      <c r="AF126" s="373"/>
      <c r="AG126" s="373"/>
      <c r="AH126" s="373"/>
      <c r="AI126" s="374"/>
      <c r="AJ126" s="373"/>
      <c r="AK126" s="373"/>
      <c r="AL126" s="373"/>
      <c r="AM126" s="373"/>
      <c r="AN126" s="374"/>
      <c r="AO126" s="373"/>
      <c r="AP126" s="373"/>
      <c r="AQ126" s="373"/>
      <c r="AR126" s="373"/>
      <c r="AS126" s="374"/>
      <c r="AT126" s="373"/>
      <c r="AU126" s="373"/>
      <c r="AV126" s="373"/>
      <c r="AW126" s="373"/>
      <c r="AX126" s="374"/>
      <c r="AY126" s="373"/>
      <c r="AZ126" s="373"/>
      <c r="BA126" s="373"/>
      <c r="BB126" s="373"/>
      <c r="BC126" s="374"/>
      <c r="BD126" s="373"/>
      <c r="BE126" s="373"/>
      <c r="BF126" s="373"/>
      <c r="BG126" s="373"/>
      <c r="BH126" s="374"/>
      <c r="BI126" s="373"/>
      <c r="BJ126" s="373"/>
      <c r="BK126" s="373"/>
      <c r="BL126" s="373"/>
      <c r="BM126" s="374"/>
      <c r="BN126" s="373"/>
      <c r="BO126" s="373"/>
      <c r="BP126" s="373"/>
      <c r="BQ126" s="373"/>
      <c r="BR126" s="374"/>
      <c r="BS126" s="373"/>
      <c r="BT126" s="373"/>
      <c r="BU126" s="373"/>
      <c r="BV126" s="373"/>
      <c r="BW126" s="9"/>
      <c r="BX126" s="10"/>
      <c r="BY126" s="10"/>
    </row>
    <row r="127" spans="4:77" hidden="1" x14ac:dyDescent="0.2">
      <c r="D127" s="9" t="s">
        <v>434</v>
      </c>
      <c r="E127" s="156"/>
      <c r="G127" s="373">
        <f>SUM(G128:G130)</f>
        <v>0</v>
      </c>
      <c r="H127" s="373"/>
      <c r="I127" s="373"/>
      <c r="J127" s="374"/>
      <c r="K127" s="373"/>
      <c r="L127" s="373">
        <f>SUM(L128:L130)</f>
        <v>0</v>
      </c>
      <c r="M127" s="373"/>
      <c r="N127" s="373"/>
      <c r="O127" s="374"/>
      <c r="P127" s="373"/>
      <c r="Q127" s="373">
        <f>SUM(Q128:Q130)</f>
        <v>0</v>
      </c>
      <c r="R127" s="373"/>
      <c r="S127" s="373"/>
      <c r="T127" s="374"/>
      <c r="U127" s="373"/>
      <c r="V127" s="373">
        <f>SUM(V128:V130)</f>
        <v>0</v>
      </c>
      <c r="W127" s="373"/>
      <c r="X127" s="373"/>
      <c r="Y127" s="374"/>
      <c r="Z127" s="373"/>
      <c r="AA127" s="373">
        <f>SUM(AA128:AA130)</f>
        <v>0</v>
      </c>
      <c r="AB127" s="373"/>
      <c r="AC127" s="373"/>
      <c r="AD127" s="374"/>
      <c r="AE127" s="373"/>
      <c r="AF127" s="373">
        <f>SUM(AF128:AF130)</f>
        <v>0</v>
      </c>
      <c r="AG127" s="373"/>
      <c r="AH127" s="373"/>
      <c r="AI127" s="374"/>
      <c r="AJ127" s="373"/>
      <c r="AK127" s="373">
        <f>SUM(AK128:AK130)</f>
        <v>0</v>
      </c>
      <c r="AL127" s="373"/>
      <c r="AM127" s="373"/>
      <c r="AN127" s="374"/>
      <c r="AO127" s="373"/>
      <c r="AP127" s="373">
        <f>SUM(AP128:AP130)</f>
        <v>0</v>
      </c>
      <c r="AQ127" s="373"/>
      <c r="AR127" s="373"/>
      <c r="AS127" s="374"/>
      <c r="AT127" s="373"/>
      <c r="AU127" s="373">
        <f>SUM(AU128:AU130)</f>
        <v>0</v>
      </c>
      <c r="AV127" s="373"/>
      <c r="AW127" s="373"/>
      <c r="AX127" s="374"/>
      <c r="AY127" s="373"/>
      <c r="AZ127" s="373">
        <f>SUM(AZ128:AZ130)</f>
        <v>0</v>
      </c>
      <c r="BA127" s="373"/>
      <c r="BB127" s="373"/>
      <c r="BC127" s="374"/>
      <c r="BD127" s="373"/>
      <c r="BE127" s="373">
        <f>SUM(BE128:BE130)</f>
        <v>0</v>
      </c>
      <c r="BF127" s="373"/>
      <c r="BG127" s="373"/>
      <c r="BH127" s="374"/>
      <c r="BI127" s="373"/>
      <c r="BJ127" s="373">
        <f>SUM(BJ128:BJ130)</f>
        <v>0</v>
      </c>
      <c r="BK127" s="373"/>
      <c r="BL127" s="373"/>
      <c r="BM127" s="374"/>
      <c r="BN127" s="373"/>
      <c r="BO127" s="373">
        <f>SUM(BO128:BO130)</f>
        <v>0</v>
      </c>
      <c r="BP127" s="373"/>
      <c r="BQ127" s="373"/>
      <c r="BR127" s="374"/>
      <c r="BS127" s="373"/>
      <c r="BT127" s="373">
        <f>SUM(BT128:BT130)</f>
        <v>0</v>
      </c>
      <c r="BU127" s="373"/>
      <c r="BV127" s="373"/>
      <c r="BW127" s="9"/>
      <c r="BX127" s="10"/>
      <c r="BY127" s="10"/>
    </row>
    <row r="128" spans="4:77" hidden="1" x14ac:dyDescent="0.2">
      <c r="D128" s="9" t="s">
        <v>343</v>
      </c>
      <c r="E128" s="156"/>
      <c r="F128" s="309"/>
      <c r="G128" s="371">
        <v>0</v>
      </c>
      <c r="H128" s="372"/>
      <c r="I128" s="373"/>
      <c r="J128" s="374"/>
      <c r="K128" s="375"/>
      <c r="L128" s="371">
        <v>0</v>
      </c>
      <c r="M128" s="372"/>
      <c r="N128" s="373"/>
      <c r="O128" s="374"/>
      <c r="P128" s="375"/>
      <c r="Q128" s="371">
        <v>0</v>
      </c>
      <c r="R128" s="372"/>
      <c r="S128" s="373"/>
      <c r="T128" s="374"/>
      <c r="U128" s="375"/>
      <c r="V128" s="371">
        <v>0</v>
      </c>
      <c r="W128" s="372"/>
      <c r="X128" s="373"/>
      <c r="Y128" s="374"/>
      <c r="Z128" s="375"/>
      <c r="AA128" s="371">
        <v>0</v>
      </c>
      <c r="AB128" s="372"/>
      <c r="AC128" s="373"/>
      <c r="AD128" s="374"/>
      <c r="AE128" s="375"/>
      <c r="AF128" s="371">
        <v>0</v>
      </c>
      <c r="AG128" s="372"/>
      <c r="AH128" s="373"/>
      <c r="AI128" s="374"/>
      <c r="AJ128" s="375"/>
      <c r="AK128" s="371">
        <v>0</v>
      </c>
      <c r="AL128" s="372"/>
      <c r="AM128" s="373"/>
      <c r="AN128" s="374"/>
      <c r="AO128" s="375"/>
      <c r="AP128" s="371">
        <v>0</v>
      </c>
      <c r="AQ128" s="372"/>
      <c r="AR128" s="373"/>
      <c r="AS128" s="374"/>
      <c r="AT128" s="375"/>
      <c r="AU128" s="371">
        <v>0</v>
      </c>
      <c r="AV128" s="372"/>
      <c r="AW128" s="373"/>
      <c r="AX128" s="374"/>
      <c r="AY128" s="375"/>
      <c r="AZ128" s="371">
        <v>0</v>
      </c>
      <c r="BA128" s="372"/>
      <c r="BB128" s="373"/>
      <c r="BC128" s="374"/>
      <c r="BD128" s="375"/>
      <c r="BE128" s="371">
        <v>0</v>
      </c>
      <c r="BF128" s="372"/>
      <c r="BG128" s="373"/>
      <c r="BH128" s="374"/>
      <c r="BI128" s="375"/>
      <c r="BJ128" s="371">
        <v>0</v>
      </c>
      <c r="BK128" s="372"/>
      <c r="BL128" s="373"/>
      <c r="BM128" s="374"/>
      <c r="BN128" s="375"/>
      <c r="BO128" s="371">
        <v>0</v>
      </c>
      <c r="BP128" s="372"/>
      <c r="BQ128" s="373"/>
      <c r="BR128" s="374"/>
      <c r="BS128" s="375"/>
      <c r="BT128" s="371">
        <f>SUM(L128:BO128)</f>
        <v>0</v>
      </c>
      <c r="BU128" s="372"/>
      <c r="BV128" s="373"/>
      <c r="BW128" s="9"/>
      <c r="BX128" s="10"/>
      <c r="BY128" s="10"/>
    </row>
    <row r="129" spans="4:77" hidden="1" x14ac:dyDescent="0.2">
      <c r="D129" s="9" t="s">
        <v>432</v>
      </c>
      <c r="E129" s="156"/>
      <c r="F129" s="156"/>
      <c r="G129" s="373">
        <v>0</v>
      </c>
      <c r="H129" s="377"/>
      <c r="I129" s="373"/>
      <c r="J129" s="374"/>
      <c r="K129" s="374"/>
      <c r="L129" s="373">
        <v>0</v>
      </c>
      <c r="M129" s="377"/>
      <c r="N129" s="373"/>
      <c r="O129" s="374"/>
      <c r="P129" s="374"/>
      <c r="Q129" s="373">
        <v>0</v>
      </c>
      <c r="R129" s="377"/>
      <c r="S129" s="373"/>
      <c r="T129" s="374"/>
      <c r="U129" s="374"/>
      <c r="V129" s="373">
        <v>0</v>
      </c>
      <c r="W129" s="377"/>
      <c r="X129" s="373"/>
      <c r="Y129" s="374"/>
      <c r="Z129" s="374"/>
      <c r="AA129" s="373">
        <v>0</v>
      </c>
      <c r="AB129" s="377"/>
      <c r="AC129" s="373"/>
      <c r="AD129" s="374"/>
      <c r="AE129" s="374"/>
      <c r="AF129" s="373">
        <v>0</v>
      </c>
      <c r="AG129" s="377"/>
      <c r="AH129" s="373"/>
      <c r="AI129" s="374"/>
      <c r="AJ129" s="374"/>
      <c r="AK129" s="373">
        <v>0</v>
      </c>
      <c r="AL129" s="377"/>
      <c r="AM129" s="373"/>
      <c r="AN129" s="374"/>
      <c r="AO129" s="374"/>
      <c r="AP129" s="373">
        <v>0</v>
      </c>
      <c r="AQ129" s="377"/>
      <c r="AR129" s="373"/>
      <c r="AS129" s="374"/>
      <c r="AT129" s="374"/>
      <c r="AU129" s="373">
        <v>0</v>
      </c>
      <c r="AV129" s="377"/>
      <c r="AW129" s="373"/>
      <c r="AX129" s="374"/>
      <c r="AY129" s="374"/>
      <c r="AZ129" s="373">
        <v>0</v>
      </c>
      <c r="BA129" s="377"/>
      <c r="BB129" s="373"/>
      <c r="BC129" s="374"/>
      <c r="BD129" s="374"/>
      <c r="BE129" s="373">
        <v>0</v>
      </c>
      <c r="BF129" s="377"/>
      <c r="BG129" s="373"/>
      <c r="BH129" s="374"/>
      <c r="BI129" s="374"/>
      <c r="BJ129" s="373">
        <v>0</v>
      </c>
      <c r="BK129" s="377"/>
      <c r="BL129" s="373"/>
      <c r="BM129" s="374"/>
      <c r="BN129" s="374"/>
      <c r="BO129" s="373">
        <v>0</v>
      </c>
      <c r="BP129" s="377"/>
      <c r="BQ129" s="373"/>
      <c r="BR129" s="374"/>
      <c r="BS129" s="374"/>
      <c r="BT129" s="373">
        <f>SUM(L129:BO129)</f>
        <v>0</v>
      </c>
      <c r="BU129" s="377"/>
      <c r="BV129" s="373"/>
      <c r="BW129" s="9"/>
      <c r="BX129" s="10"/>
      <c r="BY129" s="10"/>
    </row>
    <row r="130" spans="4:77" hidden="1" x14ac:dyDescent="0.2">
      <c r="D130" s="9" t="s">
        <v>433</v>
      </c>
      <c r="E130" s="156"/>
      <c r="F130" s="320"/>
      <c r="G130" s="385">
        <v>0</v>
      </c>
      <c r="H130" s="386"/>
      <c r="I130" s="373"/>
      <c r="J130" s="374"/>
      <c r="K130" s="387"/>
      <c r="L130" s="385">
        <v>0</v>
      </c>
      <c r="M130" s="386"/>
      <c r="N130" s="373"/>
      <c r="O130" s="374"/>
      <c r="P130" s="387"/>
      <c r="Q130" s="385">
        <v>0</v>
      </c>
      <c r="R130" s="386"/>
      <c r="S130" s="373"/>
      <c r="T130" s="374"/>
      <c r="U130" s="387"/>
      <c r="V130" s="385">
        <v>0</v>
      </c>
      <c r="W130" s="386"/>
      <c r="X130" s="373"/>
      <c r="Y130" s="374"/>
      <c r="Z130" s="387"/>
      <c r="AA130" s="385">
        <v>0</v>
      </c>
      <c r="AB130" s="386"/>
      <c r="AC130" s="373"/>
      <c r="AD130" s="374"/>
      <c r="AE130" s="387"/>
      <c r="AF130" s="385">
        <v>0</v>
      </c>
      <c r="AG130" s="386"/>
      <c r="AH130" s="373"/>
      <c r="AI130" s="374"/>
      <c r="AJ130" s="387"/>
      <c r="AK130" s="385">
        <v>0</v>
      </c>
      <c r="AL130" s="386"/>
      <c r="AM130" s="373"/>
      <c r="AN130" s="374"/>
      <c r="AO130" s="387"/>
      <c r="AP130" s="385">
        <v>0</v>
      </c>
      <c r="AQ130" s="386"/>
      <c r="AR130" s="373"/>
      <c r="AS130" s="374"/>
      <c r="AT130" s="387"/>
      <c r="AU130" s="385">
        <v>0</v>
      </c>
      <c r="AV130" s="386"/>
      <c r="AW130" s="373"/>
      <c r="AX130" s="374"/>
      <c r="AY130" s="387"/>
      <c r="AZ130" s="385">
        <v>0</v>
      </c>
      <c r="BA130" s="386"/>
      <c r="BB130" s="373"/>
      <c r="BC130" s="374"/>
      <c r="BD130" s="387"/>
      <c r="BE130" s="385">
        <v>0</v>
      </c>
      <c r="BF130" s="386"/>
      <c r="BG130" s="373"/>
      <c r="BH130" s="374"/>
      <c r="BI130" s="387"/>
      <c r="BJ130" s="385">
        <v>0</v>
      </c>
      <c r="BK130" s="386"/>
      <c r="BL130" s="373"/>
      <c r="BM130" s="374"/>
      <c r="BN130" s="387"/>
      <c r="BO130" s="385">
        <v>0</v>
      </c>
      <c r="BP130" s="386"/>
      <c r="BQ130" s="373"/>
      <c r="BR130" s="374"/>
      <c r="BS130" s="387"/>
      <c r="BT130" s="385">
        <f>SUM(L130:BO130)</f>
        <v>0</v>
      </c>
      <c r="BU130" s="386"/>
      <c r="BV130" s="373"/>
      <c r="BW130" s="9"/>
      <c r="BX130" s="10"/>
      <c r="BY130" s="10"/>
    </row>
    <row r="131" spans="4:77" hidden="1" x14ac:dyDescent="0.2">
      <c r="D131" s="9"/>
      <c r="E131" s="156"/>
      <c r="G131" s="373"/>
      <c r="H131" s="373"/>
      <c r="I131" s="373"/>
      <c r="J131" s="374"/>
      <c r="K131" s="373"/>
      <c r="L131" s="373"/>
      <c r="M131" s="373"/>
      <c r="N131" s="373"/>
      <c r="O131" s="374"/>
      <c r="P131" s="373"/>
      <c r="Q131" s="373"/>
      <c r="R131" s="373"/>
      <c r="S131" s="373"/>
      <c r="T131" s="374"/>
      <c r="U131" s="373"/>
      <c r="V131" s="373"/>
      <c r="W131" s="373"/>
      <c r="X131" s="373"/>
      <c r="Y131" s="374"/>
      <c r="Z131" s="373"/>
      <c r="AA131" s="373"/>
      <c r="AB131" s="373"/>
      <c r="AC131" s="373"/>
      <c r="AD131" s="374"/>
      <c r="AE131" s="373"/>
      <c r="AF131" s="373"/>
      <c r="AG131" s="373"/>
      <c r="AH131" s="373"/>
      <c r="AI131" s="374"/>
      <c r="AJ131" s="373"/>
      <c r="AK131" s="373"/>
      <c r="AL131" s="373"/>
      <c r="AM131" s="373"/>
      <c r="AN131" s="374"/>
      <c r="AO131" s="373"/>
      <c r="AP131" s="373"/>
      <c r="AQ131" s="373"/>
      <c r="AR131" s="373"/>
      <c r="AS131" s="374"/>
      <c r="AT131" s="373"/>
      <c r="AU131" s="373"/>
      <c r="AV131" s="373"/>
      <c r="AW131" s="373"/>
      <c r="AX131" s="374"/>
      <c r="AY131" s="373"/>
      <c r="AZ131" s="373"/>
      <c r="BA131" s="373"/>
      <c r="BB131" s="373"/>
      <c r="BC131" s="374"/>
      <c r="BD131" s="373"/>
      <c r="BE131" s="373"/>
      <c r="BF131" s="373"/>
      <c r="BG131" s="373"/>
      <c r="BH131" s="374"/>
      <c r="BI131" s="373"/>
      <c r="BJ131" s="373"/>
      <c r="BK131" s="373"/>
      <c r="BL131" s="373"/>
      <c r="BM131" s="374"/>
      <c r="BN131" s="373"/>
      <c r="BO131" s="373"/>
      <c r="BP131" s="373"/>
      <c r="BQ131" s="373"/>
      <c r="BR131" s="374"/>
      <c r="BS131" s="373"/>
      <c r="BT131" s="373"/>
      <c r="BU131" s="373"/>
      <c r="BV131" s="373"/>
      <c r="BW131" s="9"/>
      <c r="BX131" s="10"/>
      <c r="BY131" s="10"/>
    </row>
    <row r="132" spans="4:77" hidden="1" x14ac:dyDescent="0.2">
      <c r="D132" s="9" t="s">
        <v>435</v>
      </c>
      <c r="E132" s="156"/>
      <c r="G132" s="373">
        <f>SUM(G133:G135)</f>
        <v>0</v>
      </c>
      <c r="H132" s="373"/>
      <c r="I132" s="373"/>
      <c r="J132" s="374"/>
      <c r="K132" s="373"/>
      <c r="L132" s="373">
        <f>SUM(L133:L135)</f>
        <v>0</v>
      </c>
      <c r="M132" s="373"/>
      <c r="N132" s="373"/>
      <c r="O132" s="374"/>
      <c r="P132" s="373"/>
      <c r="Q132" s="373">
        <f>SUM(Q133:Q135)</f>
        <v>0</v>
      </c>
      <c r="R132" s="373"/>
      <c r="S132" s="373"/>
      <c r="T132" s="374"/>
      <c r="U132" s="373"/>
      <c r="V132" s="373">
        <f>SUM(V133:V135)</f>
        <v>0</v>
      </c>
      <c r="W132" s="373"/>
      <c r="X132" s="373"/>
      <c r="Y132" s="374"/>
      <c r="Z132" s="373"/>
      <c r="AA132" s="373">
        <f>SUM(AA133:AA135)</f>
        <v>0</v>
      </c>
      <c r="AB132" s="373"/>
      <c r="AC132" s="373"/>
      <c r="AD132" s="374"/>
      <c r="AE132" s="373"/>
      <c r="AF132" s="373">
        <f>SUM(AF133:AF135)</f>
        <v>0</v>
      </c>
      <c r="AG132" s="373"/>
      <c r="AH132" s="373"/>
      <c r="AI132" s="374"/>
      <c r="AJ132" s="373"/>
      <c r="AK132" s="373">
        <f>SUM(AK133:AK135)</f>
        <v>0</v>
      </c>
      <c r="AL132" s="373"/>
      <c r="AM132" s="373"/>
      <c r="AN132" s="374"/>
      <c r="AO132" s="373"/>
      <c r="AP132" s="373">
        <f>SUM(AP133:AP135)</f>
        <v>0</v>
      </c>
      <c r="AQ132" s="373"/>
      <c r="AR132" s="373"/>
      <c r="AS132" s="374"/>
      <c r="AT132" s="373"/>
      <c r="AU132" s="373">
        <f>SUM(AU133:AU135)</f>
        <v>0</v>
      </c>
      <c r="AV132" s="373"/>
      <c r="AW132" s="373"/>
      <c r="AX132" s="374"/>
      <c r="AY132" s="373"/>
      <c r="AZ132" s="373">
        <f>SUM(AZ133:AZ135)</f>
        <v>0</v>
      </c>
      <c r="BA132" s="373"/>
      <c r="BB132" s="373"/>
      <c r="BC132" s="374"/>
      <c r="BD132" s="373"/>
      <c r="BE132" s="373">
        <f>SUM(BE133:BE135)</f>
        <v>0</v>
      </c>
      <c r="BF132" s="373"/>
      <c r="BG132" s="373"/>
      <c r="BH132" s="374"/>
      <c r="BI132" s="373"/>
      <c r="BJ132" s="373">
        <f>SUM(BJ133:BJ135)</f>
        <v>0</v>
      </c>
      <c r="BK132" s="373"/>
      <c r="BL132" s="373"/>
      <c r="BM132" s="374"/>
      <c r="BN132" s="373"/>
      <c r="BO132" s="373">
        <f>SUM(BO133:BO135)</f>
        <v>0</v>
      </c>
      <c r="BP132" s="373"/>
      <c r="BQ132" s="373"/>
      <c r="BR132" s="374"/>
      <c r="BS132" s="373"/>
      <c r="BT132" s="373">
        <f>SUM(BT133:BT135)</f>
        <v>0</v>
      </c>
      <c r="BU132" s="373"/>
      <c r="BV132" s="373"/>
      <c r="BW132" s="9"/>
      <c r="BX132" s="10"/>
      <c r="BY132" s="10"/>
    </row>
    <row r="133" spans="4:77" hidden="1" x14ac:dyDescent="0.2">
      <c r="D133" s="9" t="s">
        <v>343</v>
      </c>
      <c r="E133" s="156"/>
      <c r="F133" s="309"/>
      <c r="G133" s="371">
        <v>0</v>
      </c>
      <c r="H133" s="372"/>
      <c r="I133" s="373"/>
      <c r="J133" s="374"/>
      <c r="K133" s="375"/>
      <c r="L133" s="371">
        <v>0</v>
      </c>
      <c r="M133" s="372"/>
      <c r="N133" s="373"/>
      <c r="O133" s="374"/>
      <c r="P133" s="375"/>
      <c r="Q133" s="371">
        <v>0</v>
      </c>
      <c r="R133" s="372"/>
      <c r="S133" s="373"/>
      <c r="T133" s="374"/>
      <c r="U133" s="375"/>
      <c r="V133" s="371">
        <v>0</v>
      </c>
      <c r="W133" s="372"/>
      <c r="X133" s="373"/>
      <c r="Y133" s="374"/>
      <c r="Z133" s="375"/>
      <c r="AA133" s="371">
        <v>0</v>
      </c>
      <c r="AB133" s="372"/>
      <c r="AC133" s="373"/>
      <c r="AD133" s="374"/>
      <c r="AE133" s="375"/>
      <c r="AF133" s="371">
        <v>0</v>
      </c>
      <c r="AG133" s="372"/>
      <c r="AH133" s="373"/>
      <c r="AI133" s="374"/>
      <c r="AJ133" s="375"/>
      <c r="AK133" s="371">
        <v>0</v>
      </c>
      <c r="AL133" s="372"/>
      <c r="AM133" s="373"/>
      <c r="AN133" s="374"/>
      <c r="AO133" s="375"/>
      <c r="AP133" s="371">
        <v>0</v>
      </c>
      <c r="AQ133" s="372"/>
      <c r="AR133" s="373"/>
      <c r="AS133" s="374"/>
      <c r="AT133" s="375"/>
      <c r="AU133" s="371">
        <v>0</v>
      </c>
      <c r="AV133" s="372"/>
      <c r="AW133" s="373"/>
      <c r="AX133" s="374"/>
      <c r="AY133" s="375"/>
      <c r="AZ133" s="371">
        <v>0</v>
      </c>
      <c r="BA133" s="372"/>
      <c r="BB133" s="373"/>
      <c r="BC133" s="374"/>
      <c r="BD133" s="375"/>
      <c r="BE133" s="371">
        <v>0</v>
      </c>
      <c r="BF133" s="372"/>
      <c r="BG133" s="373"/>
      <c r="BH133" s="374"/>
      <c r="BI133" s="375"/>
      <c r="BJ133" s="371">
        <v>0</v>
      </c>
      <c r="BK133" s="372"/>
      <c r="BL133" s="373"/>
      <c r="BM133" s="374"/>
      <c r="BN133" s="375"/>
      <c r="BO133" s="371">
        <v>0</v>
      </c>
      <c r="BP133" s="372"/>
      <c r="BQ133" s="373"/>
      <c r="BR133" s="374"/>
      <c r="BS133" s="375"/>
      <c r="BT133" s="371">
        <f>SUM(L133:BO133)</f>
        <v>0</v>
      </c>
      <c r="BU133" s="372"/>
      <c r="BV133" s="373"/>
      <c r="BW133" s="9"/>
      <c r="BX133" s="10"/>
      <c r="BY133" s="10"/>
    </row>
    <row r="134" spans="4:77" hidden="1" x14ac:dyDescent="0.2">
      <c r="D134" s="9" t="s">
        <v>432</v>
      </c>
      <c r="E134" s="156"/>
      <c r="F134" s="156"/>
      <c r="G134" s="373">
        <v>0</v>
      </c>
      <c r="H134" s="377"/>
      <c r="I134" s="373"/>
      <c r="J134" s="374"/>
      <c r="K134" s="374"/>
      <c r="L134" s="373">
        <v>0</v>
      </c>
      <c r="M134" s="377"/>
      <c r="N134" s="373"/>
      <c r="O134" s="374"/>
      <c r="P134" s="374"/>
      <c r="Q134" s="373">
        <v>0</v>
      </c>
      <c r="R134" s="377"/>
      <c r="S134" s="373"/>
      <c r="T134" s="374"/>
      <c r="U134" s="374"/>
      <c r="V134" s="373">
        <v>0</v>
      </c>
      <c r="W134" s="377"/>
      <c r="X134" s="373"/>
      <c r="Y134" s="374"/>
      <c r="Z134" s="374"/>
      <c r="AA134" s="373">
        <v>0</v>
      </c>
      <c r="AB134" s="377"/>
      <c r="AC134" s="373"/>
      <c r="AD134" s="374"/>
      <c r="AE134" s="374"/>
      <c r="AF134" s="373">
        <v>0</v>
      </c>
      <c r="AG134" s="377"/>
      <c r="AH134" s="373"/>
      <c r="AI134" s="374"/>
      <c r="AJ134" s="374"/>
      <c r="AK134" s="373">
        <v>0</v>
      </c>
      <c r="AL134" s="377"/>
      <c r="AM134" s="373"/>
      <c r="AN134" s="374"/>
      <c r="AO134" s="374"/>
      <c r="AP134" s="373">
        <v>0</v>
      </c>
      <c r="AQ134" s="377"/>
      <c r="AR134" s="373"/>
      <c r="AS134" s="374"/>
      <c r="AT134" s="374"/>
      <c r="AU134" s="373">
        <v>0</v>
      </c>
      <c r="AV134" s="377"/>
      <c r="AW134" s="373"/>
      <c r="AX134" s="374"/>
      <c r="AY134" s="374"/>
      <c r="AZ134" s="373">
        <v>0</v>
      </c>
      <c r="BA134" s="377"/>
      <c r="BB134" s="373"/>
      <c r="BC134" s="374"/>
      <c r="BD134" s="374"/>
      <c r="BE134" s="373">
        <v>0</v>
      </c>
      <c r="BF134" s="377"/>
      <c r="BG134" s="373"/>
      <c r="BH134" s="374"/>
      <c r="BI134" s="374"/>
      <c r="BJ134" s="373">
        <v>0</v>
      </c>
      <c r="BK134" s="377"/>
      <c r="BL134" s="373"/>
      <c r="BM134" s="374"/>
      <c r="BN134" s="374"/>
      <c r="BO134" s="373">
        <v>0</v>
      </c>
      <c r="BP134" s="377"/>
      <c r="BQ134" s="373"/>
      <c r="BR134" s="374"/>
      <c r="BS134" s="374"/>
      <c r="BT134" s="373">
        <f>SUM(L134:BO134)</f>
        <v>0</v>
      </c>
      <c r="BU134" s="377"/>
      <c r="BV134" s="373"/>
      <c r="BW134" s="9"/>
      <c r="BX134" s="10"/>
      <c r="BY134" s="10"/>
    </row>
    <row r="135" spans="4:77" hidden="1" x14ac:dyDescent="0.2">
      <c r="D135" s="9" t="s">
        <v>433</v>
      </c>
      <c r="E135" s="156"/>
      <c r="F135" s="320"/>
      <c r="G135" s="385">
        <v>0</v>
      </c>
      <c r="H135" s="386"/>
      <c r="I135" s="373"/>
      <c r="J135" s="374"/>
      <c r="K135" s="387"/>
      <c r="L135" s="385">
        <v>0</v>
      </c>
      <c r="M135" s="386"/>
      <c r="N135" s="373"/>
      <c r="O135" s="374"/>
      <c r="P135" s="387"/>
      <c r="Q135" s="385">
        <v>0</v>
      </c>
      <c r="R135" s="386"/>
      <c r="S135" s="373"/>
      <c r="T135" s="374"/>
      <c r="U135" s="387"/>
      <c r="V135" s="385">
        <v>0</v>
      </c>
      <c r="W135" s="386"/>
      <c r="X135" s="373"/>
      <c r="Y135" s="374"/>
      <c r="Z135" s="387"/>
      <c r="AA135" s="385">
        <v>0</v>
      </c>
      <c r="AB135" s="386"/>
      <c r="AC135" s="373"/>
      <c r="AD135" s="374"/>
      <c r="AE135" s="387"/>
      <c r="AF135" s="385">
        <v>0</v>
      </c>
      <c r="AG135" s="386"/>
      <c r="AH135" s="373"/>
      <c r="AI135" s="374"/>
      <c r="AJ135" s="387"/>
      <c r="AK135" s="385">
        <v>0</v>
      </c>
      <c r="AL135" s="386"/>
      <c r="AM135" s="373"/>
      <c r="AN135" s="374"/>
      <c r="AO135" s="387"/>
      <c r="AP135" s="385">
        <v>0</v>
      </c>
      <c r="AQ135" s="386"/>
      <c r="AR135" s="373"/>
      <c r="AS135" s="374"/>
      <c r="AT135" s="387"/>
      <c r="AU135" s="385">
        <v>0</v>
      </c>
      <c r="AV135" s="386"/>
      <c r="AW135" s="373"/>
      <c r="AX135" s="374"/>
      <c r="AY135" s="387"/>
      <c r="AZ135" s="385">
        <v>0</v>
      </c>
      <c r="BA135" s="386"/>
      <c r="BB135" s="373"/>
      <c r="BC135" s="374"/>
      <c r="BD135" s="387"/>
      <c r="BE135" s="385">
        <v>0</v>
      </c>
      <c r="BF135" s="386"/>
      <c r="BG135" s="373"/>
      <c r="BH135" s="374"/>
      <c r="BI135" s="387"/>
      <c r="BJ135" s="385">
        <v>0</v>
      </c>
      <c r="BK135" s="386"/>
      <c r="BL135" s="373"/>
      <c r="BM135" s="374"/>
      <c r="BN135" s="387"/>
      <c r="BO135" s="385">
        <v>0</v>
      </c>
      <c r="BP135" s="386"/>
      <c r="BQ135" s="373"/>
      <c r="BR135" s="374"/>
      <c r="BS135" s="387"/>
      <c r="BT135" s="385">
        <f>SUM(L135:BO135)</f>
        <v>0</v>
      </c>
      <c r="BU135" s="386"/>
      <c r="BV135" s="373"/>
      <c r="BW135" s="9"/>
      <c r="BX135" s="10"/>
      <c r="BY135" s="10"/>
    </row>
    <row r="136" spans="4:77" hidden="1" x14ac:dyDescent="0.2">
      <c r="D136" s="9"/>
      <c r="E136" s="156"/>
      <c r="G136" s="373"/>
      <c r="H136" s="373"/>
      <c r="I136" s="373"/>
      <c r="J136" s="374"/>
      <c r="K136" s="373"/>
      <c r="L136" s="373"/>
      <c r="M136" s="373"/>
      <c r="N136" s="373"/>
      <c r="O136" s="374"/>
      <c r="P136" s="373"/>
      <c r="Q136" s="373"/>
      <c r="R136" s="373"/>
      <c r="S136" s="373"/>
      <c r="T136" s="374"/>
      <c r="U136" s="373"/>
      <c r="V136" s="373"/>
      <c r="W136" s="373"/>
      <c r="X136" s="373"/>
      <c r="Y136" s="374"/>
      <c r="Z136" s="373"/>
      <c r="AA136" s="373"/>
      <c r="AB136" s="373"/>
      <c r="AC136" s="373"/>
      <c r="AD136" s="374"/>
      <c r="AE136" s="373"/>
      <c r="AF136" s="373"/>
      <c r="AG136" s="373"/>
      <c r="AH136" s="373"/>
      <c r="AI136" s="374"/>
      <c r="AJ136" s="373"/>
      <c r="AK136" s="373"/>
      <c r="AL136" s="373"/>
      <c r="AM136" s="373"/>
      <c r="AN136" s="374"/>
      <c r="AO136" s="373"/>
      <c r="AP136" s="373"/>
      <c r="AQ136" s="373"/>
      <c r="AR136" s="373"/>
      <c r="AS136" s="374"/>
      <c r="AT136" s="373"/>
      <c r="AU136" s="373"/>
      <c r="AV136" s="373"/>
      <c r="AW136" s="373"/>
      <c r="AX136" s="374"/>
      <c r="AY136" s="373"/>
      <c r="AZ136" s="373"/>
      <c r="BA136" s="373"/>
      <c r="BB136" s="373"/>
      <c r="BC136" s="374"/>
      <c r="BD136" s="373"/>
      <c r="BE136" s="373"/>
      <c r="BF136" s="373"/>
      <c r="BG136" s="373"/>
      <c r="BH136" s="374"/>
      <c r="BI136" s="373"/>
      <c r="BJ136" s="373"/>
      <c r="BK136" s="373"/>
      <c r="BL136" s="373"/>
      <c r="BM136" s="374"/>
      <c r="BN136" s="373"/>
      <c r="BO136" s="373"/>
      <c r="BP136" s="373"/>
      <c r="BQ136" s="373"/>
      <c r="BR136" s="374"/>
      <c r="BS136" s="373"/>
      <c r="BT136" s="373"/>
      <c r="BU136" s="373"/>
      <c r="BV136" s="373"/>
      <c r="BW136" s="9"/>
      <c r="BX136" s="10"/>
      <c r="BY136" s="10"/>
    </row>
    <row r="137" spans="4:77" hidden="1" x14ac:dyDescent="0.2">
      <c r="D137" s="9" t="s">
        <v>436</v>
      </c>
      <c r="E137" s="156"/>
      <c r="G137" s="373">
        <f>SUM(G138:G140)</f>
        <v>0</v>
      </c>
      <c r="H137" s="373"/>
      <c r="I137" s="373"/>
      <c r="J137" s="374"/>
      <c r="K137" s="373"/>
      <c r="L137" s="373">
        <f>SUM(L138:L140)</f>
        <v>0</v>
      </c>
      <c r="M137" s="373"/>
      <c r="N137" s="373"/>
      <c r="O137" s="374"/>
      <c r="P137" s="373"/>
      <c r="Q137" s="373">
        <f>SUM(Q138:Q140)</f>
        <v>0</v>
      </c>
      <c r="R137" s="373"/>
      <c r="S137" s="373"/>
      <c r="T137" s="374"/>
      <c r="U137" s="373"/>
      <c r="V137" s="373">
        <f>SUM(V138:V140)</f>
        <v>0</v>
      </c>
      <c r="W137" s="373"/>
      <c r="X137" s="373"/>
      <c r="Y137" s="374"/>
      <c r="Z137" s="373"/>
      <c r="AA137" s="373">
        <f>SUM(AA138:AA140)</f>
        <v>0</v>
      </c>
      <c r="AB137" s="373"/>
      <c r="AC137" s="373"/>
      <c r="AD137" s="374"/>
      <c r="AE137" s="373"/>
      <c r="AF137" s="373">
        <f>SUM(AF138:AF140)</f>
        <v>0</v>
      </c>
      <c r="AG137" s="373"/>
      <c r="AH137" s="373"/>
      <c r="AI137" s="374"/>
      <c r="AJ137" s="373"/>
      <c r="AK137" s="373">
        <f>SUM(AK138:AK140)</f>
        <v>0</v>
      </c>
      <c r="AL137" s="373"/>
      <c r="AM137" s="373"/>
      <c r="AN137" s="374"/>
      <c r="AO137" s="373"/>
      <c r="AP137" s="373">
        <f>SUM(AP138:AP140)</f>
        <v>0</v>
      </c>
      <c r="AQ137" s="373"/>
      <c r="AR137" s="373"/>
      <c r="AS137" s="374"/>
      <c r="AT137" s="373"/>
      <c r="AU137" s="373">
        <f>SUM(AU138:AU140)</f>
        <v>0</v>
      </c>
      <c r="AV137" s="373"/>
      <c r="AW137" s="373"/>
      <c r="AX137" s="374"/>
      <c r="AY137" s="373"/>
      <c r="AZ137" s="373">
        <f>SUM(AZ138:AZ140)</f>
        <v>0</v>
      </c>
      <c r="BA137" s="373"/>
      <c r="BB137" s="373"/>
      <c r="BC137" s="374"/>
      <c r="BD137" s="373"/>
      <c r="BE137" s="373">
        <f>SUM(BE138:BE140)</f>
        <v>0</v>
      </c>
      <c r="BF137" s="373"/>
      <c r="BG137" s="373"/>
      <c r="BH137" s="374"/>
      <c r="BI137" s="373"/>
      <c r="BJ137" s="373">
        <f>SUM(BJ138:BJ140)</f>
        <v>0</v>
      </c>
      <c r="BK137" s="373"/>
      <c r="BL137" s="373"/>
      <c r="BM137" s="374"/>
      <c r="BN137" s="373"/>
      <c r="BO137" s="373">
        <f>SUM(BO138:BO140)</f>
        <v>0</v>
      </c>
      <c r="BP137" s="373"/>
      <c r="BQ137" s="373"/>
      <c r="BR137" s="374"/>
      <c r="BS137" s="373"/>
      <c r="BT137" s="373">
        <f>SUM(BT138:BT140)</f>
        <v>0</v>
      </c>
      <c r="BU137" s="373"/>
      <c r="BV137" s="373"/>
      <c r="BW137" s="9"/>
      <c r="BX137" s="10"/>
      <c r="BY137" s="10"/>
    </row>
    <row r="138" spans="4:77" hidden="1" x14ac:dyDescent="0.2">
      <c r="D138" s="9" t="s">
        <v>343</v>
      </c>
      <c r="E138" s="156"/>
      <c r="F138" s="309"/>
      <c r="G138" s="371">
        <v>0</v>
      </c>
      <c r="H138" s="372"/>
      <c r="I138" s="373"/>
      <c r="J138" s="374"/>
      <c r="K138" s="375"/>
      <c r="L138" s="371">
        <v>0</v>
      </c>
      <c r="M138" s="372"/>
      <c r="N138" s="373"/>
      <c r="O138" s="374"/>
      <c r="P138" s="375"/>
      <c r="Q138" s="371">
        <v>0</v>
      </c>
      <c r="R138" s="372"/>
      <c r="S138" s="373"/>
      <c r="T138" s="374"/>
      <c r="U138" s="375"/>
      <c r="V138" s="371">
        <v>0</v>
      </c>
      <c r="W138" s="372"/>
      <c r="X138" s="373"/>
      <c r="Y138" s="374"/>
      <c r="Z138" s="375"/>
      <c r="AA138" s="371">
        <v>0</v>
      </c>
      <c r="AB138" s="372"/>
      <c r="AC138" s="373"/>
      <c r="AD138" s="374"/>
      <c r="AE138" s="375"/>
      <c r="AF138" s="371">
        <v>0</v>
      </c>
      <c r="AG138" s="372"/>
      <c r="AH138" s="373"/>
      <c r="AI138" s="374"/>
      <c r="AJ138" s="375"/>
      <c r="AK138" s="371">
        <v>0</v>
      </c>
      <c r="AL138" s="372"/>
      <c r="AM138" s="373"/>
      <c r="AN138" s="374"/>
      <c r="AO138" s="375"/>
      <c r="AP138" s="371">
        <v>0</v>
      </c>
      <c r="AQ138" s="372"/>
      <c r="AR138" s="373"/>
      <c r="AS138" s="374"/>
      <c r="AT138" s="375"/>
      <c r="AU138" s="371">
        <v>0</v>
      </c>
      <c r="AV138" s="372"/>
      <c r="AW138" s="373"/>
      <c r="AX138" s="374"/>
      <c r="AY138" s="375"/>
      <c r="AZ138" s="371">
        <v>0</v>
      </c>
      <c r="BA138" s="372"/>
      <c r="BB138" s="373"/>
      <c r="BC138" s="374"/>
      <c r="BD138" s="375"/>
      <c r="BE138" s="371">
        <v>0</v>
      </c>
      <c r="BF138" s="372"/>
      <c r="BG138" s="373"/>
      <c r="BH138" s="374"/>
      <c r="BI138" s="375"/>
      <c r="BJ138" s="371">
        <v>0</v>
      </c>
      <c r="BK138" s="372"/>
      <c r="BL138" s="373"/>
      <c r="BM138" s="374"/>
      <c r="BN138" s="375"/>
      <c r="BO138" s="371">
        <v>0</v>
      </c>
      <c r="BP138" s="372"/>
      <c r="BQ138" s="373"/>
      <c r="BR138" s="374"/>
      <c r="BS138" s="375"/>
      <c r="BT138" s="371">
        <f>SUM(L138:BO138)</f>
        <v>0</v>
      </c>
      <c r="BU138" s="372"/>
      <c r="BV138" s="373"/>
      <c r="BW138" s="9"/>
      <c r="BX138" s="10"/>
      <c r="BY138" s="10"/>
    </row>
    <row r="139" spans="4:77" hidden="1" x14ac:dyDescent="0.2">
      <c r="D139" s="9" t="s">
        <v>432</v>
      </c>
      <c r="E139" s="156"/>
      <c r="F139" s="156"/>
      <c r="G139" s="373">
        <v>0</v>
      </c>
      <c r="H139" s="377"/>
      <c r="I139" s="373"/>
      <c r="J139" s="374"/>
      <c r="K139" s="374"/>
      <c r="L139" s="373">
        <v>0</v>
      </c>
      <c r="M139" s="377"/>
      <c r="N139" s="373"/>
      <c r="O139" s="374"/>
      <c r="P139" s="374"/>
      <c r="Q139" s="373">
        <v>0</v>
      </c>
      <c r="R139" s="377"/>
      <c r="S139" s="373"/>
      <c r="T139" s="374"/>
      <c r="U139" s="374"/>
      <c r="V139" s="373">
        <v>0</v>
      </c>
      <c r="W139" s="377"/>
      <c r="X139" s="373"/>
      <c r="Y139" s="374"/>
      <c r="Z139" s="374"/>
      <c r="AA139" s="373">
        <v>0</v>
      </c>
      <c r="AB139" s="377"/>
      <c r="AC139" s="373"/>
      <c r="AD139" s="374"/>
      <c r="AE139" s="374"/>
      <c r="AF139" s="373">
        <v>0</v>
      </c>
      <c r="AG139" s="377"/>
      <c r="AH139" s="373"/>
      <c r="AI139" s="374"/>
      <c r="AJ139" s="374"/>
      <c r="AK139" s="373">
        <v>0</v>
      </c>
      <c r="AL139" s="377"/>
      <c r="AM139" s="373"/>
      <c r="AN139" s="374"/>
      <c r="AO139" s="374"/>
      <c r="AP139" s="373">
        <v>0</v>
      </c>
      <c r="AQ139" s="377"/>
      <c r="AR139" s="373"/>
      <c r="AS139" s="374"/>
      <c r="AT139" s="374"/>
      <c r="AU139" s="373">
        <v>0</v>
      </c>
      <c r="AV139" s="377"/>
      <c r="AW139" s="373"/>
      <c r="AX139" s="374"/>
      <c r="AY139" s="374"/>
      <c r="AZ139" s="373">
        <v>0</v>
      </c>
      <c r="BA139" s="377"/>
      <c r="BB139" s="373"/>
      <c r="BC139" s="374"/>
      <c r="BD139" s="374"/>
      <c r="BE139" s="373">
        <v>0</v>
      </c>
      <c r="BF139" s="377"/>
      <c r="BG139" s="373"/>
      <c r="BH139" s="374"/>
      <c r="BI139" s="374"/>
      <c r="BJ139" s="373">
        <v>0</v>
      </c>
      <c r="BK139" s="377"/>
      <c r="BL139" s="373"/>
      <c r="BM139" s="374"/>
      <c r="BN139" s="374"/>
      <c r="BO139" s="373">
        <v>0</v>
      </c>
      <c r="BP139" s="377"/>
      <c r="BQ139" s="373"/>
      <c r="BR139" s="374"/>
      <c r="BS139" s="374"/>
      <c r="BT139" s="373">
        <f>SUM(L139:BO139)</f>
        <v>0</v>
      </c>
      <c r="BU139" s="377"/>
      <c r="BV139" s="373"/>
      <c r="BW139" s="9"/>
      <c r="BX139" s="10"/>
      <c r="BY139" s="10"/>
    </row>
    <row r="140" spans="4:77" hidden="1" x14ac:dyDescent="0.2">
      <c r="D140" s="9" t="s">
        <v>433</v>
      </c>
      <c r="E140" s="156"/>
      <c r="F140" s="320"/>
      <c r="G140" s="385">
        <v>0</v>
      </c>
      <c r="H140" s="386"/>
      <c r="I140" s="373"/>
      <c r="J140" s="374"/>
      <c r="K140" s="387"/>
      <c r="L140" s="385">
        <v>0</v>
      </c>
      <c r="M140" s="386"/>
      <c r="N140" s="373"/>
      <c r="O140" s="374"/>
      <c r="P140" s="387"/>
      <c r="Q140" s="385">
        <v>0</v>
      </c>
      <c r="R140" s="386"/>
      <c r="S140" s="373"/>
      <c r="T140" s="374"/>
      <c r="U140" s="387"/>
      <c r="V140" s="385">
        <v>0</v>
      </c>
      <c r="W140" s="386"/>
      <c r="X140" s="373"/>
      <c r="Y140" s="374"/>
      <c r="Z140" s="387"/>
      <c r="AA140" s="385">
        <v>0</v>
      </c>
      <c r="AB140" s="386"/>
      <c r="AC140" s="373"/>
      <c r="AD140" s="374"/>
      <c r="AE140" s="387"/>
      <c r="AF140" s="385">
        <v>0</v>
      </c>
      <c r="AG140" s="386"/>
      <c r="AH140" s="373"/>
      <c r="AI140" s="374"/>
      <c r="AJ140" s="387"/>
      <c r="AK140" s="385">
        <v>0</v>
      </c>
      <c r="AL140" s="386"/>
      <c r="AM140" s="373"/>
      <c r="AN140" s="374"/>
      <c r="AO140" s="387"/>
      <c r="AP140" s="385">
        <v>0</v>
      </c>
      <c r="AQ140" s="386"/>
      <c r="AR140" s="373"/>
      <c r="AS140" s="374"/>
      <c r="AT140" s="387"/>
      <c r="AU140" s="385">
        <v>0</v>
      </c>
      <c r="AV140" s="386"/>
      <c r="AW140" s="373"/>
      <c r="AX140" s="374"/>
      <c r="AY140" s="387"/>
      <c r="AZ140" s="385">
        <v>0</v>
      </c>
      <c r="BA140" s="386"/>
      <c r="BB140" s="373"/>
      <c r="BC140" s="374"/>
      <c r="BD140" s="387"/>
      <c r="BE140" s="385">
        <v>0</v>
      </c>
      <c r="BF140" s="386"/>
      <c r="BG140" s="373"/>
      <c r="BH140" s="374"/>
      <c r="BI140" s="387"/>
      <c r="BJ140" s="385">
        <v>0</v>
      </c>
      <c r="BK140" s="386"/>
      <c r="BL140" s="373"/>
      <c r="BM140" s="374"/>
      <c r="BN140" s="387"/>
      <c r="BO140" s="385">
        <v>0</v>
      </c>
      <c r="BP140" s="386"/>
      <c r="BQ140" s="373"/>
      <c r="BR140" s="374"/>
      <c r="BS140" s="387"/>
      <c r="BT140" s="385">
        <f>SUM(L140:BO140)</f>
        <v>0</v>
      </c>
      <c r="BU140" s="386"/>
      <c r="BV140" s="373"/>
      <c r="BW140" s="9"/>
      <c r="BX140" s="10"/>
      <c r="BY140" s="10"/>
    </row>
    <row r="141" spans="4:77" hidden="1" x14ac:dyDescent="0.2">
      <c r="D141" s="9"/>
      <c r="E141" s="156"/>
      <c r="G141" s="373"/>
      <c r="H141" s="373"/>
      <c r="I141" s="373"/>
      <c r="J141" s="374"/>
      <c r="K141" s="373"/>
      <c r="L141" s="373"/>
      <c r="M141" s="373"/>
      <c r="N141" s="373"/>
      <c r="O141" s="374"/>
      <c r="P141" s="373"/>
      <c r="Q141" s="373"/>
      <c r="R141" s="373"/>
      <c r="S141" s="373"/>
      <c r="T141" s="374"/>
      <c r="U141" s="373"/>
      <c r="V141" s="373"/>
      <c r="W141" s="373"/>
      <c r="X141" s="373"/>
      <c r="Y141" s="374"/>
      <c r="Z141" s="373"/>
      <c r="AA141" s="373"/>
      <c r="AB141" s="373"/>
      <c r="AC141" s="373"/>
      <c r="AD141" s="374"/>
      <c r="AE141" s="373"/>
      <c r="AF141" s="373"/>
      <c r="AG141" s="373"/>
      <c r="AH141" s="373"/>
      <c r="AI141" s="374"/>
      <c r="AJ141" s="373"/>
      <c r="AK141" s="373"/>
      <c r="AL141" s="373"/>
      <c r="AM141" s="373"/>
      <c r="AN141" s="374"/>
      <c r="AO141" s="373"/>
      <c r="AP141" s="373"/>
      <c r="AQ141" s="373"/>
      <c r="AR141" s="373"/>
      <c r="AS141" s="374"/>
      <c r="AT141" s="373"/>
      <c r="AU141" s="373"/>
      <c r="AV141" s="373"/>
      <c r="AW141" s="373"/>
      <c r="AX141" s="374"/>
      <c r="AY141" s="373"/>
      <c r="AZ141" s="373"/>
      <c r="BA141" s="373"/>
      <c r="BB141" s="373"/>
      <c r="BC141" s="374"/>
      <c r="BD141" s="373"/>
      <c r="BE141" s="373"/>
      <c r="BF141" s="373"/>
      <c r="BG141" s="373"/>
      <c r="BH141" s="374"/>
      <c r="BI141" s="373"/>
      <c r="BJ141" s="373"/>
      <c r="BK141" s="373"/>
      <c r="BL141" s="373"/>
      <c r="BM141" s="374"/>
      <c r="BN141" s="373"/>
      <c r="BO141" s="373"/>
      <c r="BP141" s="373"/>
      <c r="BQ141" s="373"/>
      <c r="BR141" s="374"/>
      <c r="BS141" s="373"/>
      <c r="BT141" s="373"/>
      <c r="BU141" s="373"/>
      <c r="BV141" s="373"/>
      <c r="BW141" s="9"/>
      <c r="BX141" s="10"/>
      <c r="BY141" s="10"/>
    </row>
    <row r="142" spans="4:77" hidden="1" x14ac:dyDescent="0.2">
      <c r="D142" s="9" t="s">
        <v>437</v>
      </c>
      <c r="E142" s="156"/>
      <c r="G142" s="373">
        <f>SUM(G143:G145)</f>
        <v>0</v>
      </c>
      <c r="H142" s="373"/>
      <c r="I142" s="373"/>
      <c r="J142" s="374"/>
      <c r="K142" s="373"/>
      <c r="L142" s="373">
        <f>SUM(L143:L145)</f>
        <v>0</v>
      </c>
      <c r="M142" s="373"/>
      <c r="N142" s="373"/>
      <c r="O142" s="374"/>
      <c r="P142" s="373"/>
      <c r="Q142" s="373">
        <f>SUM(Q143:Q145)</f>
        <v>0</v>
      </c>
      <c r="R142" s="373"/>
      <c r="S142" s="373"/>
      <c r="T142" s="374"/>
      <c r="U142" s="373"/>
      <c r="V142" s="373">
        <f>SUM(V143:V145)</f>
        <v>0</v>
      </c>
      <c r="W142" s="373"/>
      <c r="X142" s="373"/>
      <c r="Y142" s="374"/>
      <c r="Z142" s="373"/>
      <c r="AA142" s="373">
        <f>SUM(AA143:AA145)</f>
        <v>0</v>
      </c>
      <c r="AB142" s="373"/>
      <c r="AC142" s="373"/>
      <c r="AD142" s="374"/>
      <c r="AE142" s="373"/>
      <c r="AF142" s="373">
        <f>SUM(AF143:AF145)</f>
        <v>0</v>
      </c>
      <c r="AG142" s="373"/>
      <c r="AH142" s="373"/>
      <c r="AI142" s="374"/>
      <c r="AJ142" s="373"/>
      <c r="AK142" s="373">
        <f>SUM(AK143:AK145)</f>
        <v>0</v>
      </c>
      <c r="AL142" s="373"/>
      <c r="AM142" s="373"/>
      <c r="AN142" s="374"/>
      <c r="AO142" s="373"/>
      <c r="AP142" s="373">
        <f>SUM(AP143:AP145)</f>
        <v>0</v>
      </c>
      <c r="AQ142" s="373"/>
      <c r="AR142" s="373"/>
      <c r="AS142" s="374"/>
      <c r="AT142" s="373"/>
      <c r="AU142" s="373">
        <f>SUM(AU143:AU145)</f>
        <v>0</v>
      </c>
      <c r="AV142" s="373"/>
      <c r="AW142" s="373"/>
      <c r="AX142" s="374"/>
      <c r="AY142" s="373"/>
      <c r="AZ142" s="373">
        <f>SUM(AZ143:AZ145)</f>
        <v>0</v>
      </c>
      <c r="BA142" s="373"/>
      <c r="BB142" s="373"/>
      <c r="BC142" s="374"/>
      <c r="BD142" s="373"/>
      <c r="BE142" s="373">
        <f>SUM(BE143:BE145)</f>
        <v>0</v>
      </c>
      <c r="BF142" s="373"/>
      <c r="BG142" s="373"/>
      <c r="BH142" s="374"/>
      <c r="BI142" s="373"/>
      <c r="BJ142" s="373">
        <f>SUM(BJ143:BJ145)</f>
        <v>0</v>
      </c>
      <c r="BK142" s="373"/>
      <c r="BL142" s="373"/>
      <c r="BM142" s="374"/>
      <c r="BN142" s="373"/>
      <c r="BO142" s="373">
        <f>SUM(BO143:BO145)</f>
        <v>0</v>
      </c>
      <c r="BP142" s="373"/>
      <c r="BQ142" s="373"/>
      <c r="BR142" s="374"/>
      <c r="BS142" s="373"/>
      <c r="BT142" s="373">
        <f>SUM(BT143:BT145)</f>
        <v>0</v>
      </c>
      <c r="BU142" s="373"/>
      <c r="BV142" s="373"/>
      <c r="BW142" s="9"/>
      <c r="BX142" s="10"/>
      <c r="BY142" s="10"/>
    </row>
    <row r="143" spans="4:77" hidden="1" x14ac:dyDescent="0.2">
      <c r="D143" s="9" t="s">
        <v>343</v>
      </c>
      <c r="E143" s="156"/>
      <c r="F143" s="309"/>
      <c r="G143" s="371">
        <v>0</v>
      </c>
      <c r="H143" s="372"/>
      <c r="I143" s="373"/>
      <c r="J143" s="374"/>
      <c r="K143" s="375"/>
      <c r="L143" s="371">
        <v>0</v>
      </c>
      <c r="M143" s="372"/>
      <c r="N143" s="373"/>
      <c r="O143" s="374"/>
      <c r="P143" s="375"/>
      <c r="Q143" s="371">
        <v>0</v>
      </c>
      <c r="R143" s="372"/>
      <c r="S143" s="373"/>
      <c r="T143" s="374"/>
      <c r="U143" s="375"/>
      <c r="V143" s="371">
        <v>0</v>
      </c>
      <c r="W143" s="372"/>
      <c r="X143" s="373"/>
      <c r="Y143" s="374"/>
      <c r="Z143" s="375"/>
      <c r="AA143" s="371">
        <v>0</v>
      </c>
      <c r="AB143" s="372"/>
      <c r="AC143" s="373"/>
      <c r="AD143" s="374"/>
      <c r="AE143" s="375"/>
      <c r="AF143" s="371">
        <v>0</v>
      </c>
      <c r="AG143" s="372"/>
      <c r="AH143" s="373"/>
      <c r="AI143" s="374"/>
      <c r="AJ143" s="375"/>
      <c r="AK143" s="371">
        <v>0</v>
      </c>
      <c r="AL143" s="372"/>
      <c r="AM143" s="373"/>
      <c r="AN143" s="374"/>
      <c r="AO143" s="375"/>
      <c r="AP143" s="371">
        <v>0</v>
      </c>
      <c r="AQ143" s="372"/>
      <c r="AR143" s="373"/>
      <c r="AS143" s="374"/>
      <c r="AT143" s="375"/>
      <c r="AU143" s="371">
        <v>0</v>
      </c>
      <c r="AV143" s="372"/>
      <c r="AW143" s="373"/>
      <c r="AX143" s="374"/>
      <c r="AY143" s="375"/>
      <c r="AZ143" s="371">
        <v>0</v>
      </c>
      <c r="BA143" s="372"/>
      <c r="BB143" s="373"/>
      <c r="BC143" s="374"/>
      <c r="BD143" s="375"/>
      <c r="BE143" s="371">
        <v>0</v>
      </c>
      <c r="BF143" s="372"/>
      <c r="BG143" s="373"/>
      <c r="BH143" s="374"/>
      <c r="BI143" s="375"/>
      <c r="BJ143" s="371">
        <v>0</v>
      </c>
      <c r="BK143" s="372"/>
      <c r="BL143" s="373"/>
      <c r="BM143" s="374"/>
      <c r="BN143" s="375"/>
      <c r="BO143" s="371">
        <v>0</v>
      </c>
      <c r="BP143" s="372"/>
      <c r="BQ143" s="373"/>
      <c r="BR143" s="374"/>
      <c r="BS143" s="375"/>
      <c r="BT143" s="371">
        <f>SUM(L143:BO143)</f>
        <v>0</v>
      </c>
      <c r="BU143" s="372"/>
      <c r="BV143" s="373"/>
      <c r="BW143" s="9"/>
      <c r="BX143" s="10"/>
      <c r="BY143" s="10"/>
    </row>
    <row r="144" spans="4:77" hidden="1" x14ac:dyDescent="0.2">
      <c r="D144" s="9" t="s">
        <v>432</v>
      </c>
      <c r="E144" s="156"/>
      <c r="F144" s="156"/>
      <c r="G144" s="373">
        <v>0</v>
      </c>
      <c r="H144" s="377"/>
      <c r="I144" s="373"/>
      <c r="J144" s="374"/>
      <c r="K144" s="374"/>
      <c r="L144" s="373">
        <v>0</v>
      </c>
      <c r="M144" s="377"/>
      <c r="N144" s="373"/>
      <c r="O144" s="374"/>
      <c r="P144" s="374"/>
      <c r="Q144" s="373">
        <v>0</v>
      </c>
      <c r="R144" s="377"/>
      <c r="S144" s="373"/>
      <c r="T144" s="374"/>
      <c r="U144" s="374"/>
      <c r="V144" s="373">
        <v>0</v>
      </c>
      <c r="W144" s="377"/>
      <c r="X144" s="373"/>
      <c r="Y144" s="374"/>
      <c r="Z144" s="374"/>
      <c r="AA144" s="373">
        <v>0</v>
      </c>
      <c r="AB144" s="377"/>
      <c r="AC144" s="373"/>
      <c r="AD144" s="374"/>
      <c r="AE144" s="374"/>
      <c r="AF144" s="373">
        <v>0</v>
      </c>
      <c r="AG144" s="377"/>
      <c r="AH144" s="373"/>
      <c r="AI144" s="374"/>
      <c r="AJ144" s="374"/>
      <c r="AK144" s="373">
        <v>0</v>
      </c>
      <c r="AL144" s="377"/>
      <c r="AM144" s="373"/>
      <c r="AN144" s="374"/>
      <c r="AO144" s="374"/>
      <c r="AP144" s="373">
        <v>0</v>
      </c>
      <c r="AQ144" s="377"/>
      <c r="AR144" s="373"/>
      <c r="AS144" s="374"/>
      <c r="AT144" s="374"/>
      <c r="AU144" s="373">
        <v>0</v>
      </c>
      <c r="AV144" s="377"/>
      <c r="AW144" s="373"/>
      <c r="AX144" s="374"/>
      <c r="AY144" s="374"/>
      <c r="AZ144" s="373">
        <v>0</v>
      </c>
      <c r="BA144" s="377"/>
      <c r="BB144" s="373"/>
      <c r="BC144" s="374"/>
      <c r="BD144" s="374"/>
      <c r="BE144" s="373">
        <v>0</v>
      </c>
      <c r="BF144" s="377"/>
      <c r="BG144" s="373"/>
      <c r="BH144" s="374"/>
      <c r="BI144" s="374"/>
      <c r="BJ144" s="373">
        <v>0</v>
      </c>
      <c r="BK144" s="377"/>
      <c r="BL144" s="373"/>
      <c r="BM144" s="374"/>
      <c r="BN144" s="374"/>
      <c r="BO144" s="373">
        <v>0</v>
      </c>
      <c r="BP144" s="377"/>
      <c r="BQ144" s="373"/>
      <c r="BR144" s="374"/>
      <c r="BS144" s="374"/>
      <c r="BT144" s="373">
        <f>SUM(L144:BO144)</f>
        <v>0</v>
      </c>
      <c r="BU144" s="377"/>
      <c r="BV144" s="373"/>
      <c r="BW144" s="9"/>
      <c r="BX144" s="10"/>
      <c r="BY144" s="10"/>
    </row>
    <row r="145" spans="4:77" hidden="1" x14ac:dyDescent="0.2">
      <c r="D145" s="9" t="s">
        <v>433</v>
      </c>
      <c r="E145" s="156"/>
      <c r="F145" s="320"/>
      <c r="G145" s="385">
        <v>0</v>
      </c>
      <c r="H145" s="386"/>
      <c r="I145" s="373"/>
      <c r="J145" s="374"/>
      <c r="K145" s="387"/>
      <c r="L145" s="385">
        <v>0</v>
      </c>
      <c r="M145" s="386"/>
      <c r="N145" s="373"/>
      <c r="O145" s="374"/>
      <c r="P145" s="387"/>
      <c r="Q145" s="385">
        <v>0</v>
      </c>
      <c r="R145" s="386"/>
      <c r="S145" s="373"/>
      <c r="T145" s="374"/>
      <c r="U145" s="387"/>
      <c r="V145" s="385">
        <v>0</v>
      </c>
      <c r="W145" s="386"/>
      <c r="X145" s="373"/>
      <c r="Y145" s="374"/>
      <c r="Z145" s="387"/>
      <c r="AA145" s="385">
        <v>0</v>
      </c>
      <c r="AB145" s="386"/>
      <c r="AC145" s="373"/>
      <c r="AD145" s="374"/>
      <c r="AE145" s="387"/>
      <c r="AF145" s="385">
        <v>0</v>
      </c>
      <c r="AG145" s="386"/>
      <c r="AH145" s="373"/>
      <c r="AI145" s="374"/>
      <c r="AJ145" s="387"/>
      <c r="AK145" s="385">
        <v>0</v>
      </c>
      <c r="AL145" s="386"/>
      <c r="AM145" s="373"/>
      <c r="AN145" s="374"/>
      <c r="AO145" s="387"/>
      <c r="AP145" s="385">
        <v>0</v>
      </c>
      <c r="AQ145" s="386"/>
      <c r="AR145" s="373"/>
      <c r="AS145" s="374"/>
      <c r="AT145" s="387"/>
      <c r="AU145" s="385">
        <v>0</v>
      </c>
      <c r="AV145" s="386"/>
      <c r="AW145" s="373"/>
      <c r="AX145" s="374"/>
      <c r="AY145" s="387"/>
      <c r="AZ145" s="385">
        <v>0</v>
      </c>
      <c r="BA145" s="386"/>
      <c r="BB145" s="373"/>
      <c r="BC145" s="374"/>
      <c r="BD145" s="387"/>
      <c r="BE145" s="385">
        <v>0</v>
      </c>
      <c r="BF145" s="386"/>
      <c r="BG145" s="373"/>
      <c r="BH145" s="374"/>
      <c r="BI145" s="387"/>
      <c r="BJ145" s="385">
        <v>0</v>
      </c>
      <c r="BK145" s="386"/>
      <c r="BL145" s="373"/>
      <c r="BM145" s="374"/>
      <c r="BN145" s="387"/>
      <c r="BO145" s="385">
        <v>0</v>
      </c>
      <c r="BP145" s="386"/>
      <c r="BQ145" s="373"/>
      <c r="BR145" s="374"/>
      <c r="BS145" s="387"/>
      <c r="BT145" s="385">
        <f>SUM(L145:BO145)</f>
        <v>0</v>
      </c>
      <c r="BU145" s="386"/>
      <c r="BV145" s="373"/>
      <c r="BW145" s="9"/>
      <c r="BX145" s="10"/>
      <c r="BY145" s="10"/>
    </row>
    <row r="146" spans="4:77" hidden="1" x14ac:dyDescent="0.2">
      <c r="D146" s="9"/>
      <c r="E146" s="156"/>
      <c r="G146" s="373"/>
      <c r="H146" s="373"/>
      <c r="I146" s="373"/>
      <c r="J146" s="374"/>
      <c r="K146" s="373"/>
      <c r="L146" s="373"/>
      <c r="M146" s="373"/>
      <c r="N146" s="373"/>
      <c r="O146" s="374"/>
      <c r="P146" s="373"/>
      <c r="Q146" s="373"/>
      <c r="R146" s="373"/>
      <c r="S146" s="373"/>
      <c r="T146" s="374"/>
      <c r="U146" s="373"/>
      <c r="V146" s="373"/>
      <c r="W146" s="373"/>
      <c r="X146" s="373"/>
      <c r="Y146" s="374"/>
      <c r="Z146" s="373"/>
      <c r="AA146" s="373"/>
      <c r="AB146" s="373"/>
      <c r="AC146" s="373"/>
      <c r="AD146" s="374"/>
      <c r="AE146" s="373"/>
      <c r="AF146" s="373"/>
      <c r="AG146" s="373"/>
      <c r="AH146" s="373"/>
      <c r="AI146" s="374"/>
      <c r="AJ146" s="373"/>
      <c r="AK146" s="373"/>
      <c r="AL146" s="373"/>
      <c r="AM146" s="373"/>
      <c r="AN146" s="374"/>
      <c r="AO146" s="373"/>
      <c r="AP146" s="373"/>
      <c r="AQ146" s="373"/>
      <c r="AR146" s="373"/>
      <c r="AS146" s="374"/>
      <c r="AT146" s="373"/>
      <c r="AU146" s="373"/>
      <c r="AV146" s="373"/>
      <c r="AW146" s="373"/>
      <c r="AX146" s="374"/>
      <c r="AY146" s="373"/>
      <c r="AZ146" s="373"/>
      <c r="BA146" s="373"/>
      <c r="BB146" s="373"/>
      <c r="BC146" s="374"/>
      <c r="BD146" s="373"/>
      <c r="BE146" s="373"/>
      <c r="BF146" s="373"/>
      <c r="BG146" s="373"/>
      <c r="BH146" s="374"/>
      <c r="BI146" s="373"/>
      <c r="BJ146" s="373"/>
      <c r="BK146" s="373"/>
      <c r="BL146" s="373"/>
      <c r="BM146" s="374"/>
      <c r="BN146" s="373"/>
      <c r="BO146" s="373"/>
      <c r="BP146" s="373"/>
      <c r="BQ146" s="373"/>
      <c r="BR146" s="374"/>
      <c r="BS146" s="373"/>
      <c r="BT146" s="373"/>
      <c r="BU146" s="373"/>
      <c r="BV146" s="373"/>
      <c r="BW146" s="9"/>
      <c r="BX146" s="10"/>
      <c r="BY146" s="10"/>
    </row>
    <row r="147" spans="4:77" hidden="1" x14ac:dyDescent="0.2">
      <c r="D147" s="9" t="s">
        <v>438</v>
      </c>
      <c r="E147" s="156"/>
      <c r="G147" s="373">
        <f>SUM(G148:G150)</f>
        <v>0</v>
      </c>
      <c r="H147" s="373"/>
      <c r="I147" s="373"/>
      <c r="J147" s="374"/>
      <c r="K147" s="373"/>
      <c r="L147" s="373">
        <f>SUM(L148:L150)</f>
        <v>0</v>
      </c>
      <c r="M147" s="373"/>
      <c r="N147" s="373"/>
      <c r="O147" s="374"/>
      <c r="P147" s="373"/>
      <c r="Q147" s="373">
        <f>SUM(Q148:Q150)</f>
        <v>0</v>
      </c>
      <c r="R147" s="373"/>
      <c r="S147" s="373"/>
      <c r="T147" s="374"/>
      <c r="U147" s="373"/>
      <c r="V147" s="373">
        <f>SUM(V148:V150)</f>
        <v>0</v>
      </c>
      <c r="W147" s="373"/>
      <c r="X147" s="373"/>
      <c r="Y147" s="374"/>
      <c r="Z147" s="373"/>
      <c r="AA147" s="373">
        <f>SUM(AA148:AA150)</f>
        <v>0</v>
      </c>
      <c r="AB147" s="373"/>
      <c r="AC147" s="373"/>
      <c r="AD147" s="374"/>
      <c r="AE147" s="373"/>
      <c r="AF147" s="373">
        <f>SUM(AF148:AF150)</f>
        <v>0</v>
      </c>
      <c r="AG147" s="373"/>
      <c r="AH147" s="373"/>
      <c r="AI147" s="374"/>
      <c r="AJ147" s="373"/>
      <c r="AK147" s="373">
        <f>SUM(AK148:AK150)</f>
        <v>0</v>
      </c>
      <c r="AL147" s="373"/>
      <c r="AM147" s="373"/>
      <c r="AN147" s="374"/>
      <c r="AO147" s="373"/>
      <c r="AP147" s="373">
        <f>SUM(AP148:AP150)</f>
        <v>0</v>
      </c>
      <c r="AQ147" s="373"/>
      <c r="AR147" s="373"/>
      <c r="AS147" s="374"/>
      <c r="AT147" s="373"/>
      <c r="AU147" s="373">
        <f>SUM(AU148:AU150)</f>
        <v>0</v>
      </c>
      <c r="AV147" s="373"/>
      <c r="AW147" s="373"/>
      <c r="AX147" s="374"/>
      <c r="AY147" s="373"/>
      <c r="AZ147" s="373">
        <f>SUM(AZ148:AZ150)</f>
        <v>0</v>
      </c>
      <c r="BA147" s="373"/>
      <c r="BB147" s="373"/>
      <c r="BC147" s="374"/>
      <c r="BD147" s="373"/>
      <c r="BE147" s="373">
        <f>SUM(BE148:BE150)</f>
        <v>0</v>
      </c>
      <c r="BF147" s="373"/>
      <c r="BG147" s="373"/>
      <c r="BH147" s="374"/>
      <c r="BI147" s="373"/>
      <c r="BJ147" s="373">
        <f>SUM(BJ148:BJ150)</f>
        <v>0</v>
      </c>
      <c r="BK147" s="373"/>
      <c r="BL147" s="373"/>
      <c r="BM147" s="374"/>
      <c r="BN147" s="373"/>
      <c r="BO147" s="373">
        <f>SUM(BO148:BO150)</f>
        <v>0</v>
      </c>
      <c r="BP147" s="373"/>
      <c r="BQ147" s="373"/>
      <c r="BR147" s="374"/>
      <c r="BS147" s="373"/>
      <c r="BT147" s="373">
        <f>SUM(BT148:BT150)</f>
        <v>0</v>
      </c>
      <c r="BU147" s="373"/>
      <c r="BV147" s="373"/>
      <c r="BW147" s="9"/>
      <c r="BX147" s="10"/>
      <c r="BY147" s="10"/>
    </row>
    <row r="148" spans="4:77" hidden="1" x14ac:dyDescent="0.2">
      <c r="D148" s="9" t="s">
        <v>343</v>
      </c>
      <c r="E148" s="156"/>
      <c r="F148" s="309"/>
      <c r="G148" s="371">
        <v>0</v>
      </c>
      <c r="H148" s="372"/>
      <c r="I148" s="373"/>
      <c r="J148" s="374"/>
      <c r="K148" s="375"/>
      <c r="L148" s="371">
        <v>0</v>
      </c>
      <c r="M148" s="372"/>
      <c r="N148" s="373"/>
      <c r="O148" s="374"/>
      <c r="P148" s="375"/>
      <c r="Q148" s="371">
        <v>0</v>
      </c>
      <c r="R148" s="372"/>
      <c r="S148" s="373"/>
      <c r="T148" s="374"/>
      <c r="U148" s="375"/>
      <c r="V148" s="371">
        <v>0</v>
      </c>
      <c r="W148" s="372"/>
      <c r="X148" s="373"/>
      <c r="Y148" s="374"/>
      <c r="Z148" s="375"/>
      <c r="AA148" s="371">
        <v>0</v>
      </c>
      <c r="AB148" s="372"/>
      <c r="AC148" s="373"/>
      <c r="AD148" s="374"/>
      <c r="AE148" s="375"/>
      <c r="AF148" s="371">
        <v>0</v>
      </c>
      <c r="AG148" s="372"/>
      <c r="AH148" s="373"/>
      <c r="AI148" s="374"/>
      <c r="AJ148" s="375"/>
      <c r="AK148" s="371">
        <v>0</v>
      </c>
      <c r="AL148" s="372"/>
      <c r="AM148" s="373"/>
      <c r="AN148" s="374"/>
      <c r="AO148" s="375"/>
      <c r="AP148" s="371">
        <v>0</v>
      </c>
      <c r="AQ148" s="372"/>
      <c r="AR148" s="373"/>
      <c r="AS148" s="374"/>
      <c r="AT148" s="375"/>
      <c r="AU148" s="371">
        <v>0</v>
      </c>
      <c r="AV148" s="372"/>
      <c r="AW148" s="373"/>
      <c r="AX148" s="374"/>
      <c r="AY148" s="375"/>
      <c r="AZ148" s="371">
        <v>0</v>
      </c>
      <c r="BA148" s="372"/>
      <c r="BB148" s="373"/>
      <c r="BC148" s="374"/>
      <c r="BD148" s="375"/>
      <c r="BE148" s="371">
        <v>0</v>
      </c>
      <c r="BF148" s="372"/>
      <c r="BG148" s="373"/>
      <c r="BH148" s="374"/>
      <c r="BI148" s="375"/>
      <c r="BJ148" s="371">
        <v>0</v>
      </c>
      <c r="BK148" s="372"/>
      <c r="BL148" s="373"/>
      <c r="BM148" s="374"/>
      <c r="BN148" s="375"/>
      <c r="BO148" s="371">
        <v>0</v>
      </c>
      <c r="BP148" s="372"/>
      <c r="BQ148" s="373"/>
      <c r="BR148" s="374"/>
      <c r="BS148" s="375"/>
      <c r="BT148" s="371">
        <f>SUM(L148:BO148)</f>
        <v>0</v>
      </c>
      <c r="BU148" s="372"/>
      <c r="BV148" s="373"/>
      <c r="BW148" s="9"/>
      <c r="BX148" s="10"/>
      <c r="BY148" s="10"/>
    </row>
    <row r="149" spans="4:77" hidden="1" x14ac:dyDescent="0.2">
      <c r="D149" s="9" t="s">
        <v>432</v>
      </c>
      <c r="E149" s="156"/>
      <c r="F149" s="156"/>
      <c r="G149" s="373">
        <v>0</v>
      </c>
      <c r="H149" s="377"/>
      <c r="I149" s="373"/>
      <c r="J149" s="374"/>
      <c r="K149" s="374"/>
      <c r="L149" s="373">
        <v>0</v>
      </c>
      <c r="M149" s="377"/>
      <c r="N149" s="373"/>
      <c r="O149" s="374"/>
      <c r="P149" s="374"/>
      <c r="Q149" s="373">
        <v>0</v>
      </c>
      <c r="R149" s="377"/>
      <c r="S149" s="373"/>
      <c r="T149" s="374"/>
      <c r="U149" s="374"/>
      <c r="V149" s="373">
        <v>0</v>
      </c>
      <c r="W149" s="377"/>
      <c r="X149" s="373"/>
      <c r="Y149" s="374"/>
      <c r="Z149" s="374"/>
      <c r="AA149" s="373">
        <v>0</v>
      </c>
      <c r="AB149" s="377"/>
      <c r="AC149" s="373"/>
      <c r="AD149" s="374"/>
      <c r="AE149" s="374"/>
      <c r="AF149" s="373">
        <v>0</v>
      </c>
      <c r="AG149" s="377"/>
      <c r="AH149" s="373"/>
      <c r="AI149" s="374"/>
      <c r="AJ149" s="374"/>
      <c r="AK149" s="373">
        <v>0</v>
      </c>
      <c r="AL149" s="377"/>
      <c r="AM149" s="373"/>
      <c r="AN149" s="374"/>
      <c r="AO149" s="374"/>
      <c r="AP149" s="373">
        <v>0</v>
      </c>
      <c r="AQ149" s="377"/>
      <c r="AR149" s="373"/>
      <c r="AS149" s="374"/>
      <c r="AT149" s="374"/>
      <c r="AU149" s="373">
        <v>0</v>
      </c>
      <c r="AV149" s="377"/>
      <c r="AW149" s="373"/>
      <c r="AX149" s="374"/>
      <c r="AY149" s="374"/>
      <c r="AZ149" s="373">
        <v>0</v>
      </c>
      <c r="BA149" s="377"/>
      <c r="BB149" s="373"/>
      <c r="BC149" s="374"/>
      <c r="BD149" s="374"/>
      <c r="BE149" s="373">
        <v>0</v>
      </c>
      <c r="BF149" s="377"/>
      <c r="BG149" s="373"/>
      <c r="BH149" s="374"/>
      <c r="BI149" s="374"/>
      <c r="BJ149" s="373">
        <v>0</v>
      </c>
      <c r="BK149" s="377"/>
      <c r="BL149" s="373"/>
      <c r="BM149" s="374"/>
      <c r="BN149" s="374"/>
      <c r="BO149" s="373">
        <v>0</v>
      </c>
      <c r="BP149" s="377"/>
      <c r="BQ149" s="373"/>
      <c r="BR149" s="374"/>
      <c r="BS149" s="374"/>
      <c r="BT149" s="373">
        <f>SUM(L149:BO149)</f>
        <v>0</v>
      </c>
      <c r="BU149" s="377"/>
      <c r="BV149" s="373"/>
      <c r="BW149" s="9"/>
      <c r="BX149" s="10"/>
      <c r="BY149" s="10"/>
    </row>
    <row r="150" spans="4:77" hidden="1" x14ac:dyDescent="0.2">
      <c r="D150" s="9" t="s">
        <v>433</v>
      </c>
      <c r="E150" s="156"/>
      <c r="F150" s="320"/>
      <c r="G150" s="385">
        <v>0</v>
      </c>
      <c r="H150" s="386"/>
      <c r="I150" s="373"/>
      <c r="J150" s="374"/>
      <c r="K150" s="387"/>
      <c r="L150" s="385">
        <v>0</v>
      </c>
      <c r="M150" s="386"/>
      <c r="N150" s="373"/>
      <c r="O150" s="374"/>
      <c r="P150" s="387"/>
      <c r="Q150" s="385">
        <v>0</v>
      </c>
      <c r="R150" s="386"/>
      <c r="S150" s="373"/>
      <c r="T150" s="374"/>
      <c r="U150" s="387"/>
      <c r="V150" s="385">
        <v>0</v>
      </c>
      <c r="W150" s="386"/>
      <c r="X150" s="373"/>
      <c r="Y150" s="374"/>
      <c r="Z150" s="387"/>
      <c r="AA150" s="385">
        <v>0</v>
      </c>
      <c r="AB150" s="386"/>
      <c r="AC150" s="373"/>
      <c r="AD150" s="374"/>
      <c r="AE150" s="387"/>
      <c r="AF150" s="385">
        <v>0</v>
      </c>
      <c r="AG150" s="386"/>
      <c r="AH150" s="373"/>
      <c r="AI150" s="374"/>
      <c r="AJ150" s="387"/>
      <c r="AK150" s="385">
        <v>0</v>
      </c>
      <c r="AL150" s="386"/>
      <c r="AM150" s="373"/>
      <c r="AN150" s="374"/>
      <c r="AO150" s="387"/>
      <c r="AP150" s="385">
        <v>0</v>
      </c>
      <c r="AQ150" s="386"/>
      <c r="AR150" s="373"/>
      <c r="AS150" s="374"/>
      <c r="AT150" s="387"/>
      <c r="AU150" s="385">
        <v>0</v>
      </c>
      <c r="AV150" s="386"/>
      <c r="AW150" s="373"/>
      <c r="AX150" s="374"/>
      <c r="AY150" s="387"/>
      <c r="AZ150" s="385">
        <v>0</v>
      </c>
      <c r="BA150" s="386"/>
      <c r="BB150" s="373"/>
      <c r="BC150" s="374"/>
      <c r="BD150" s="387"/>
      <c r="BE150" s="385">
        <v>0</v>
      </c>
      <c r="BF150" s="386"/>
      <c r="BG150" s="373"/>
      <c r="BH150" s="374"/>
      <c r="BI150" s="387"/>
      <c r="BJ150" s="385">
        <v>0</v>
      </c>
      <c r="BK150" s="386"/>
      <c r="BL150" s="373"/>
      <c r="BM150" s="374"/>
      <c r="BN150" s="387"/>
      <c r="BO150" s="385">
        <v>0</v>
      </c>
      <c r="BP150" s="386"/>
      <c r="BQ150" s="373"/>
      <c r="BR150" s="374"/>
      <c r="BS150" s="387"/>
      <c r="BT150" s="385">
        <f>SUM(L150:BO150)</f>
        <v>0</v>
      </c>
      <c r="BU150" s="386"/>
      <c r="BV150" s="373"/>
      <c r="BW150" s="9"/>
      <c r="BX150" s="10"/>
      <c r="BY150" s="10"/>
    </row>
    <row r="151" spans="4:77" hidden="1" x14ac:dyDescent="0.2">
      <c r="D151" s="9"/>
      <c r="E151" s="156"/>
      <c r="G151" s="407"/>
      <c r="H151" s="407"/>
      <c r="I151" s="407"/>
      <c r="J151" s="408"/>
      <c r="K151" s="407"/>
      <c r="L151" s="407"/>
      <c r="M151" s="407"/>
      <c r="N151" s="407"/>
      <c r="O151" s="408"/>
      <c r="P151" s="407"/>
      <c r="Q151" s="407"/>
      <c r="R151" s="407"/>
      <c r="S151" s="407"/>
      <c r="T151" s="408"/>
      <c r="U151" s="407"/>
      <c r="V151" s="407"/>
      <c r="W151" s="407"/>
      <c r="X151" s="407"/>
      <c r="Y151" s="408"/>
      <c r="Z151" s="407"/>
      <c r="AA151" s="407"/>
      <c r="AB151" s="407"/>
      <c r="AC151" s="407"/>
      <c r="AD151" s="408"/>
      <c r="AE151" s="407"/>
      <c r="AF151" s="407"/>
      <c r="AG151" s="407"/>
      <c r="AH151" s="407"/>
      <c r="AI151" s="408"/>
      <c r="AJ151" s="407"/>
      <c r="AK151" s="407"/>
      <c r="AL151" s="407"/>
      <c r="AM151" s="407"/>
      <c r="AN151" s="408"/>
      <c r="AO151" s="407"/>
      <c r="AP151" s="407"/>
      <c r="AQ151" s="407"/>
      <c r="AR151" s="407"/>
      <c r="AS151" s="408"/>
      <c r="AT151" s="407"/>
      <c r="AU151" s="407"/>
      <c r="AV151" s="407"/>
      <c r="AW151" s="407"/>
      <c r="AX151" s="408"/>
      <c r="AY151" s="407"/>
      <c r="AZ151" s="407"/>
      <c r="BA151" s="407"/>
      <c r="BB151" s="407"/>
      <c r="BC151" s="408"/>
      <c r="BD151" s="407"/>
      <c r="BE151" s="407"/>
      <c r="BF151" s="407"/>
      <c r="BG151" s="407"/>
      <c r="BH151" s="408"/>
      <c r="BI151" s="407"/>
      <c r="BJ151" s="407"/>
      <c r="BK151" s="407"/>
      <c r="BL151" s="407"/>
      <c r="BM151" s="408"/>
      <c r="BN151" s="407"/>
      <c r="BO151" s="407"/>
      <c r="BP151" s="407"/>
      <c r="BQ151" s="407"/>
      <c r="BR151" s="408"/>
      <c r="BS151" s="407"/>
      <c r="BT151" s="373"/>
      <c r="BU151" s="373"/>
      <c r="BV151" s="373"/>
      <c r="BW151" s="9"/>
      <c r="BX151" s="10"/>
      <c r="BY151" s="10"/>
    </row>
    <row r="152" spans="4:77" hidden="1" x14ac:dyDescent="0.2">
      <c r="D152" s="9" t="s">
        <v>439</v>
      </c>
      <c r="E152" s="156"/>
      <c r="G152" s="373">
        <f>SUM(G153:G155)</f>
        <v>0</v>
      </c>
      <c r="H152" s="373"/>
      <c r="I152" s="373"/>
      <c r="J152" s="374"/>
      <c r="K152" s="373"/>
      <c r="L152" s="373">
        <f>SUM(L153:L155)</f>
        <v>0</v>
      </c>
      <c r="M152" s="373"/>
      <c r="N152" s="373"/>
      <c r="O152" s="374"/>
      <c r="P152" s="373"/>
      <c r="Q152" s="373">
        <f>SUM(Q153:Q155)</f>
        <v>0</v>
      </c>
      <c r="R152" s="373"/>
      <c r="S152" s="373"/>
      <c r="T152" s="374"/>
      <c r="U152" s="373"/>
      <c r="V152" s="373">
        <f>SUM(V153:V155)</f>
        <v>0</v>
      </c>
      <c r="W152" s="373"/>
      <c r="X152" s="373"/>
      <c r="Y152" s="374"/>
      <c r="Z152" s="373"/>
      <c r="AA152" s="373">
        <f>SUM(AA153:AA155)</f>
        <v>0</v>
      </c>
      <c r="AB152" s="373"/>
      <c r="AC152" s="373"/>
      <c r="AD152" s="374"/>
      <c r="AE152" s="373"/>
      <c r="AF152" s="373">
        <f>SUM(AF153:AF155)</f>
        <v>0</v>
      </c>
      <c r="AG152" s="373"/>
      <c r="AH152" s="373"/>
      <c r="AI152" s="374"/>
      <c r="AJ152" s="373"/>
      <c r="AK152" s="373">
        <f>SUM(AK153:AK155)</f>
        <v>0</v>
      </c>
      <c r="AL152" s="373"/>
      <c r="AM152" s="373"/>
      <c r="AN152" s="374"/>
      <c r="AO152" s="373"/>
      <c r="AP152" s="373">
        <f>SUM(AP153:AP155)</f>
        <v>0</v>
      </c>
      <c r="AQ152" s="373"/>
      <c r="AR152" s="373"/>
      <c r="AS152" s="374"/>
      <c r="AT152" s="373"/>
      <c r="AU152" s="373">
        <f>SUM(AU153:AU155)</f>
        <v>0</v>
      </c>
      <c r="AV152" s="373"/>
      <c r="AW152" s="373"/>
      <c r="AX152" s="374"/>
      <c r="AY152" s="373"/>
      <c r="AZ152" s="373">
        <f>SUM(AZ153:AZ155)</f>
        <v>0</v>
      </c>
      <c r="BA152" s="373"/>
      <c r="BB152" s="373"/>
      <c r="BC152" s="374"/>
      <c r="BD152" s="373"/>
      <c r="BE152" s="373">
        <f>SUM(BE153:BE155)</f>
        <v>0</v>
      </c>
      <c r="BF152" s="373"/>
      <c r="BG152" s="373"/>
      <c r="BH152" s="374"/>
      <c r="BI152" s="373"/>
      <c r="BJ152" s="373">
        <f>SUM(BJ153:BJ155)</f>
        <v>0</v>
      </c>
      <c r="BK152" s="373"/>
      <c r="BL152" s="373"/>
      <c r="BM152" s="374"/>
      <c r="BN152" s="373"/>
      <c r="BO152" s="373">
        <f>SUM(BO153:BO155)</f>
        <v>0</v>
      </c>
      <c r="BP152" s="373"/>
      <c r="BQ152" s="373"/>
      <c r="BR152" s="374"/>
      <c r="BS152" s="373"/>
      <c r="BT152" s="373">
        <f>SUM(BT153:BT155)</f>
        <v>0</v>
      </c>
      <c r="BU152" s="373"/>
      <c r="BV152" s="373"/>
      <c r="BW152" s="9"/>
      <c r="BX152" s="10"/>
      <c r="BY152" s="10"/>
    </row>
    <row r="153" spans="4:77" hidden="1" x14ac:dyDescent="0.2">
      <c r="D153" s="9" t="s">
        <v>343</v>
      </c>
      <c r="E153" s="156"/>
      <c r="F153" s="309"/>
      <c r="G153" s="371">
        <v>0</v>
      </c>
      <c r="H153" s="372"/>
      <c r="I153" s="373"/>
      <c r="J153" s="374"/>
      <c r="K153" s="375"/>
      <c r="L153" s="371">
        <v>0</v>
      </c>
      <c r="M153" s="372"/>
      <c r="N153" s="373"/>
      <c r="O153" s="374"/>
      <c r="P153" s="375"/>
      <c r="Q153" s="371">
        <v>0</v>
      </c>
      <c r="R153" s="372"/>
      <c r="S153" s="373"/>
      <c r="T153" s="374"/>
      <c r="U153" s="375"/>
      <c r="V153" s="371">
        <v>0</v>
      </c>
      <c r="W153" s="372"/>
      <c r="X153" s="373"/>
      <c r="Y153" s="374"/>
      <c r="Z153" s="375"/>
      <c r="AA153" s="371">
        <v>0</v>
      </c>
      <c r="AB153" s="372"/>
      <c r="AC153" s="373"/>
      <c r="AD153" s="374"/>
      <c r="AE153" s="375"/>
      <c r="AF153" s="371">
        <v>0</v>
      </c>
      <c r="AG153" s="372"/>
      <c r="AH153" s="373"/>
      <c r="AI153" s="374"/>
      <c r="AJ153" s="375"/>
      <c r="AK153" s="371">
        <v>0</v>
      </c>
      <c r="AL153" s="372"/>
      <c r="AM153" s="373"/>
      <c r="AN153" s="374"/>
      <c r="AO153" s="375"/>
      <c r="AP153" s="371">
        <v>0</v>
      </c>
      <c r="AQ153" s="372"/>
      <c r="AR153" s="373"/>
      <c r="AS153" s="374"/>
      <c r="AT153" s="375"/>
      <c r="AU153" s="371">
        <v>0</v>
      </c>
      <c r="AV153" s="372"/>
      <c r="AW153" s="373"/>
      <c r="AX153" s="374"/>
      <c r="AY153" s="375"/>
      <c r="AZ153" s="371">
        <v>0</v>
      </c>
      <c r="BA153" s="372"/>
      <c r="BB153" s="373"/>
      <c r="BC153" s="374"/>
      <c r="BD153" s="375"/>
      <c r="BE153" s="371">
        <v>0</v>
      </c>
      <c r="BF153" s="372"/>
      <c r="BG153" s="373"/>
      <c r="BH153" s="374"/>
      <c r="BI153" s="375"/>
      <c r="BJ153" s="371">
        <v>0</v>
      </c>
      <c r="BK153" s="372"/>
      <c r="BL153" s="373"/>
      <c r="BM153" s="374"/>
      <c r="BN153" s="375"/>
      <c r="BO153" s="371">
        <v>0</v>
      </c>
      <c r="BP153" s="372"/>
      <c r="BQ153" s="373"/>
      <c r="BR153" s="374"/>
      <c r="BS153" s="375"/>
      <c r="BT153" s="371">
        <f>SUM(L153:BO153)</f>
        <v>0</v>
      </c>
      <c r="BU153" s="372"/>
      <c r="BV153" s="373"/>
      <c r="BW153" s="9"/>
      <c r="BX153" s="10"/>
      <c r="BY153" s="10"/>
    </row>
    <row r="154" spans="4:77" hidden="1" x14ac:dyDescent="0.2">
      <c r="D154" s="9" t="s">
        <v>432</v>
      </c>
      <c r="E154" s="156"/>
      <c r="F154" s="156"/>
      <c r="G154" s="373">
        <v>0</v>
      </c>
      <c r="H154" s="377"/>
      <c r="I154" s="373"/>
      <c r="J154" s="374"/>
      <c r="K154" s="374"/>
      <c r="L154" s="373">
        <v>0</v>
      </c>
      <c r="M154" s="377"/>
      <c r="N154" s="373"/>
      <c r="O154" s="374"/>
      <c r="P154" s="374"/>
      <c r="Q154" s="373">
        <v>0</v>
      </c>
      <c r="R154" s="377"/>
      <c r="S154" s="373"/>
      <c r="T154" s="374"/>
      <c r="U154" s="374"/>
      <c r="V154" s="373">
        <v>0</v>
      </c>
      <c r="W154" s="377"/>
      <c r="X154" s="373"/>
      <c r="Y154" s="374"/>
      <c r="Z154" s="374"/>
      <c r="AA154" s="373">
        <v>0</v>
      </c>
      <c r="AB154" s="377"/>
      <c r="AC154" s="373"/>
      <c r="AD154" s="374"/>
      <c r="AE154" s="374"/>
      <c r="AF154" s="373">
        <v>0</v>
      </c>
      <c r="AG154" s="377"/>
      <c r="AH154" s="373"/>
      <c r="AI154" s="374"/>
      <c r="AJ154" s="374"/>
      <c r="AK154" s="373">
        <v>0</v>
      </c>
      <c r="AL154" s="377"/>
      <c r="AM154" s="373"/>
      <c r="AN154" s="374"/>
      <c r="AO154" s="374"/>
      <c r="AP154" s="373">
        <v>0</v>
      </c>
      <c r="AQ154" s="377"/>
      <c r="AR154" s="373"/>
      <c r="AS154" s="374"/>
      <c r="AT154" s="374"/>
      <c r="AU154" s="373">
        <v>0</v>
      </c>
      <c r="AV154" s="377"/>
      <c r="AW154" s="373"/>
      <c r="AX154" s="374"/>
      <c r="AY154" s="374"/>
      <c r="AZ154" s="373">
        <v>0</v>
      </c>
      <c r="BA154" s="377"/>
      <c r="BB154" s="373"/>
      <c r="BC154" s="374"/>
      <c r="BD154" s="374"/>
      <c r="BE154" s="373">
        <v>0</v>
      </c>
      <c r="BF154" s="377"/>
      <c r="BG154" s="373"/>
      <c r="BH154" s="374"/>
      <c r="BI154" s="374"/>
      <c r="BJ154" s="373">
        <v>0</v>
      </c>
      <c r="BK154" s="377"/>
      <c r="BL154" s="373"/>
      <c r="BM154" s="374"/>
      <c r="BN154" s="374"/>
      <c r="BO154" s="373">
        <v>0</v>
      </c>
      <c r="BP154" s="377"/>
      <c r="BQ154" s="373"/>
      <c r="BR154" s="374"/>
      <c r="BS154" s="374"/>
      <c r="BT154" s="373">
        <f>SUM(L154:BO154)</f>
        <v>0</v>
      </c>
      <c r="BU154" s="377"/>
      <c r="BV154" s="373"/>
      <c r="BW154" s="9"/>
      <c r="BX154" s="10"/>
      <c r="BY154" s="10"/>
    </row>
    <row r="155" spans="4:77" hidden="1" x14ac:dyDescent="0.2">
      <c r="D155" s="9" t="s">
        <v>433</v>
      </c>
      <c r="E155" s="156"/>
      <c r="F155" s="320"/>
      <c r="G155" s="385">
        <v>0</v>
      </c>
      <c r="H155" s="386"/>
      <c r="I155" s="373"/>
      <c r="J155" s="374"/>
      <c r="K155" s="387"/>
      <c r="L155" s="385">
        <v>0</v>
      </c>
      <c r="M155" s="386"/>
      <c r="N155" s="373"/>
      <c r="O155" s="374"/>
      <c r="P155" s="387"/>
      <c r="Q155" s="385">
        <v>0</v>
      </c>
      <c r="R155" s="386"/>
      <c r="S155" s="373"/>
      <c r="T155" s="374"/>
      <c r="U155" s="387"/>
      <c r="V155" s="385">
        <v>0</v>
      </c>
      <c r="W155" s="386"/>
      <c r="X155" s="373"/>
      <c r="Y155" s="374"/>
      <c r="Z155" s="387"/>
      <c r="AA155" s="385">
        <v>0</v>
      </c>
      <c r="AB155" s="386"/>
      <c r="AC155" s="373"/>
      <c r="AD155" s="374"/>
      <c r="AE155" s="387"/>
      <c r="AF155" s="385">
        <v>0</v>
      </c>
      <c r="AG155" s="386"/>
      <c r="AH155" s="373"/>
      <c r="AI155" s="374"/>
      <c r="AJ155" s="387"/>
      <c r="AK155" s="385">
        <v>0</v>
      </c>
      <c r="AL155" s="386"/>
      <c r="AM155" s="373"/>
      <c r="AN155" s="374"/>
      <c r="AO155" s="387"/>
      <c r="AP155" s="385">
        <v>0</v>
      </c>
      <c r="AQ155" s="386"/>
      <c r="AR155" s="373"/>
      <c r="AS155" s="374"/>
      <c r="AT155" s="387"/>
      <c r="AU155" s="385">
        <v>0</v>
      </c>
      <c r="AV155" s="386"/>
      <c r="AW155" s="373"/>
      <c r="AX155" s="374"/>
      <c r="AY155" s="387"/>
      <c r="AZ155" s="385">
        <v>0</v>
      </c>
      <c r="BA155" s="386"/>
      <c r="BB155" s="373"/>
      <c r="BC155" s="374"/>
      <c r="BD155" s="387"/>
      <c r="BE155" s="385">
        <v>0</v>
      </c>
      <c r="BF155" s="386"/>
      <c r="BG155" s="373"/>
      <c r="BH155" s="374"/>
      <c r="BI155" s="387"/>
      <c r="BJ155" s="385">
        <v>0</v>
      </c>
      <c r="BK155" s="386"/>
      <c r="BL155" s="373"/>
      <c r="BM155" s="374"/>
      <c r="BN155" s="387"/>
      <c r="BO155" s="385">
        <v>0</v>
      </c>
      <c r="BP155" s="386"/>
      <c r="BQ155" s="373"/>
      <c r="BR155" s="374"/>
      <c r="BS155" s="387"/>
      <c r="BT155" s="385">
        <f>SUM(L155:BO155)</f>
        <v>0</v>
      </c>
      <c r="BU155" s="386"/>
      <c r="BV155" s="373"/>
      <c r="BW155" s="9"/>
      <c r="BX155" s="10"/>
      <c r="BY155" s="10"/>
    </row>
    <row r="156" spans="4:77" hidden="1" x14ac:dyDescent="0.2">
      <c r="D156" s="9"/>
      <c r="E156" s="156"/>
      <c r="G156" s="407"/>
      <c r="H156" s="407"/>
      <c r="I156" s="407"/>
      <c r="J156" s="408"/>
      <c r="K156" s="407"/>
      <c r="L156" s="407"/>
      <c r="M156" s="407"/>
      <c r="N156" s="407"/>
      <c r="O156" s="408"/>
      <c r="P156" s="407"/>
      <c r="Q156" s="407"/>
      <c r="R156" s="407"/>
      <c r="S156" s="407"/>
      <c r="T156" s="408"/>
      <c r="U156" s="407"/>
      <c r="V156" s="407"/>
      <c r="W156" s="407"/>
      <c r="X156" s="407"/>
      <c r="Y156" s="408"/>
      <c r="Z156" s="407"/>
      <c r="AA156" s="407"/>
      <c r="AB156" s="407"/>
      <c r="AC156" s="407"/>
      <c r="AD156" s="408"/>
      <c r="AE156" s="407"/>
      <c r="AF156" s="407"/>
      <c r="AG156" s="407"/>
      <c r="AH156" s="407"/>
      <c r="AI156" s="408"/>
      <c r="AJ156" s="407"/>
      <c r="AK156" s="407"/>
      <c r="AL156" s="407"/>
      <c r="AM156" s="407"/>
      <c r="AN156" s="408"/>
      <c r="AO156" s="407"/>
      <c r="AP156" s="407"/>
      <c r="AQ156" s="407"/>
      <c r="AR156" s="407"/>
      <c r="AS156" s="408"/>
      <c r="AT156" s="407"/>
      <c r="AU156" s="407"/>
      <c r="AV156" s="407"/>
      <c r="AW156" s="407"/>
      <c r="AX156" s="408"/>
      <c r="AY156" s="407"/>
      <c r="AZ156" s="407"/>
      <c r="BA156" s="407"/>
      <c r="BB156" s="407"/>
      <c r="BC156" s="408"/>
      <c r="BD156" s="407"/>
      <c r="BE156" s="407"/>
      <c r="BF156" s="407"/>
      <c r="BG156" s="407"/>
      <c r="BH156" s="408"/>
      <c r="BI156" s="407"/>
      <c r="BJ156" s="407"/>
      <c r="BK156" s="407"/>
      <c r="BL156" s="407"/>
      <c r="BM156" s="408"/>
      <c r="BN156" s="407"/>
      <c r="BO156" s="407"/>
      <c r="BP156" s="407"/>
      <c r="BQ156" s="407"/>
      <c r="BR156" s="408"/>
      <c r="BS156" s="407"/>
      <c r="BT156" s="373"/>
      <c r="BU156" s="373"/>
      <c r="BV156" s="373"/>
      <c r="BW156" s="9"/>
      <c r="BX156" s="10"/>
      <c r="BY156" s="10"/>
    </row>
    <row r="157" spans="4:77" x14ac:dyDescent="0.2">
      <c r="D157" s="98"/>
      <c r="E157" s="390"/>
      <c r="F157" s="3"/>
      <c r="G157" s="409"/>
      <c r="H157" s="409"/>
      <c r="I157" s="409"/>
      <c r="J157" s="410"/>
      <c r="K157" s="409"/>
      <c r="L157" s="409"/>
      <c r="M157" s="409"/>
      <c r="N157" s="409"/>
      <c r="O157" s="410"/>
      <c r="P157" s="409"/>
      <c r="Q157" s="409"/>
      <c r="R157" s="409"/>
      <c r="S157" s="409"/>
      <c r="T157" s="410"/>
      <c r="U157" s="409"/>
      <c r="V157" s="409"/>
      <c r="W157" s="409"/>
      <c r="X157" s="409"/>
      <c r="Y157" s="410"/>
      <c r="Z157" s="409"/>
      <c r="AA157" s="409"/>
      <c r="AB157" s="409"/>
      <c r="AC157" s="409"/>
      <c r="AD157" s="410"/>
      <c r="AE157" s="409"/>
      <c r="AF157" s="409"/>
      <c r="AG157" s="409"/>
      <c r="AH157" s="409"/>
      <c r="AI157" s="410"/>
      <c r="AJ157" s="409"/>
      <c r="AK157" s="409"/>
      <c r="AL157" s="409"/>
      <c r="AM157" s="409"/>
      <c r="AN157" s="410"/>
      <c r="AO157" s="409"/>
      <c r="AP157" s="409"/>
      <c r="AQ157" s="409"/>
      <c r="AR157" s="409"/>
      <c r="AS157" s="410"/>
      <c r="AT157" s="409"/>
      <c r="AU157" s="409"/>
      <c r="AV157" s="409"/>
      <c r="AW157" s="409"/>
      <c r="AX157" s="410"/>
      <c r="AY157" s="409"/>
      <c r="AZ157" s="409"/>
      <c r="BA157" s="409"/>
      <c r="BB157" s="409"/>
      <c r="BC157" s="410"/>
      <c r="BD157" s="409"/>
      <c r="BE157" s="409"/>
      <c r="BF157" s="409"/>
      <c r="BG157" s="409"/>
      <c r="BH157" s="410"/>
      <c r="BI157" s="409"/>
      <c r="BJ157" s="409"/>
      <c r="BK157" s="409"/>
      <c r="BL157" s="409"/>
      <c r="BM157" s="410"/>
      <c r="BN157" s="409"/>
      <c r="BO157" s="409"/>
      <c r="BP157" s="409"/>
      <c r="BQ157" s="409"/>
      <c r="BR157" s="410"/>
      <c r="BS157" s="409"/>
      <c r="BT157" s="391"/>
      <c r="BU157" s="391"/>
      <c r="BV157" s="391"/>
      <c r="BW157" s="9"/>
      <c r="BX157" s="10"/>
      <c r="BY157" s="10"/>
    </row>
    <row r="158" spans="4:77" x14ac:dyDescent="0.2">
      <c r="G158" s="407"/>
      <c r="H158" s="407"/>
      <c r="I158" s="407"/>
      <c r="J158" s="407"/>
      <c r="K158" s="407"/>
      <c r="L158" s="407"/>
      <c r="M158" s="407"/>
      <c r="N158" s="407"/>
      <c r="O158" s="407"/>
      <c r="P158" s="407"/>
      <c r="Q158" s="407"/>
      <c r="R158" s="407"/>
      <c r="S158" s="407"/>
      <c r="T158" s="407"/>
      <c r="U158" s="407"/>
      <c r="V158" s="407"/>
      <c r="W158" s="407"/>
      <c r="X158" s="407"/>
      <c r="Y158" s="407"/>
      <c r="Z158" s="407"/>
      <c r="AA158" s="407"/>
      <c r="AB158" s="407"/>
      <c r="AC158" s="407"/>
      <c r="AD158" s="411"/>
      <c r="AE158" s="411"/>
      <c r="AF158" s="411"/>
      <c r="AG158" s="411"/>
      <c r="AH158" s="411"/>
      <c r="AI158" s="411"/>
      <c r="AJ158" s="411"/>
      <c r="AK158" s="411"/>
      <c r="AL158" s="411"/>
      <c r="AM158" s="411"/>
      <c r="AN158" s="411"/>
      <c r="AO158" s="411"/>
      <c r="AP158" s="411"/>
      <c r="AQ158" s="411"/>
      <c r="AR158" s="411"/>
      <c r="AS158" s="411"/>
      <c r="AT158" s="411"/>
      <c r="AU158" s="411"/>
      <c r="AV158" s="411"/>
      <c r="AW158" s="411"/>
      <c r="AX158" s="411"/>
      <c r="AY158" s="411"/>
      <c r="AZ158" s="411"/>
      <c r="BA158" s="411"/>
      <c r="BB158" s="411"/>
      <c r="BC158" s="411"/>
      <c r="BD158" s="411"/>
      <c r="BE158" s="411"/>
      <c r="BF158" s="411"/>
      <c r="BG158" s="411"/>
      <c r="BH158" s="411"/>
      <c r="BI158" s="411"/>
      <c r="BJ158" s="411"/>
      <c r="BK158" s="411"/>
      <c r="BL158" s="411"/>
      <c r="BM158" s="411"/>
      <c r="BN158" s="411"/>
      <c r="BO158" s="411"/>
      <c r="BP158" s="411"/>
      <c r="BQ158" s="411"/>
      <c r="BR158" s="411"/>
      <c r="BS158" s="411"/>
      <c r="BT158" s="412"/>
      <c r="BU158" s="412"/>
      <c r="BV158" s="412"/>
    </row>
    <row r="159" spans="4:77" x14ac:dyDescent="0.2">
      <c r="G159" s="407"/>
      <c r="H159" s="407"/>
      <c r="I159" s="407"/>
      <c r="J159" s="407"/>
      <c r="K159" s="407"/>
      <c r="L159" s="407"/>
      <c r="M159" s="407"/>
      <c r="N159" s="407"/>
      <c r="O159" s="407"/>
      <c r="P159" s="407"/>
      <c r="Q159" s="407"/>
      <c r="R159" s="407"/>
      <c r="S159" s="407"/>
      <c r="T159" s="407"/>
      <c r="U159" s="407"/>
      <c r="V159" s="407"/>
      <c r="W159" s="407"/>
      <c r="X159" s="407"/>
      <c r="Y159" s="407"/>
      <c r="Z159" s="407"/>
      <c r="AA159" s="407"/>
      <c r="AB159" s="407"/>
      <c r="AC159" s="407"/>
      <c r="AD159" s="407"/>
      <c r="AE159" s="407"/>
      <c r="AF159" s="407"/>
      <c r="AG159" s="407"/>
      <c r="AH159" s="407"/>
      <c r="AI159" s="407"/>
      <c r="AJ159" s="407"/>
      <c r="AK159" s="407"/>
      <c r="AL159" s="407"/>
      <c r="AM159" s="407"/>
      <c r="AN159" s="407"/>
      <c r="AO159" s="407"/>
      <c r="AP159" s="407"/>
      <c r="AQ159" s="407"/>
      <c r="AR159" s="407"/>
      <c r="AS159" s="407"/>
      <c r="AT159" s="407"/>
      <c r="AU159" s="407"/>
      <c r="AV159" s="407"/>
      <c r="AW159" s="407"/>
      <c r="AX159" s="407"/>
      <c r="AY159" s="407"/>
      <c r="AZ159" s="407"/>
      <c r="BA159" s="407"/>
      <c r="BB159" s="407"/>
      <c r="BC159" s="407"/>
      <c r="BD159" s="407"/>
      <c r="BE159" s="407"/>
      <c r="BF159" s="407"/>
      <c r="BG159" s="407"/>
      <c r="BH159" s="407"/>
      <c r="BI159" s="407"/>
      <c r="BJ159" s="407"/>
      <c r="BK159" s="407"/>
      <c r="BL159" s="407"/>
      <c r="BM159" s="407"/>
      <c r="BN159" s="407"/>
      <c r="BO159" s="407"/>
      <c r="BP159" s="407"/>
      <c r="BQ159" s="407"/>
      <c r="BR159" s="407"/>
      <c r="BS159" s="407"/>
      <c r="BT159" s="373"/>
      <c r="BU159" s="373"/>
      <c r="BV159" s="373"/>
    </row>
    <row r="160" spans="4:77" x14ac:dyDescent="0.2">
      <c r="G160" s="407"/>
      <c r="H160" s="407"/>
      <c r="I160" s="407"/>
      <c r="J160" s="407"/>
      <c r="K160" s="407"/>
      <c r="L160" s="407"/>
      <c r="M160" s="407"/>
      <c r="N160" s="407"/>
      <c r="O160" s="407"/>
      <c r="P160" s="407"/>
      <c r="Q160" s="407"/>
      <c r="R160" s="407"/>
      <c r="S160" s="407"/>
      <c r="T160" s="407"/>
      <c r="U160" s="407"/>
      <c r="V160" s="407"/>
      <c r="W160" s="407"/>
      <c r="X160" s="407"/>
      <c r="Y160" s="407"/>
      <c r="Z160" s="407"/>
      <c r="AA160" s="407"/>
      <c r="AB160" s="407"/>
      <c r="AC160" s="407"/>
      <c r="AD160" s="407"/>
      <c r="AE160" s="407"/>
      <c r="AF160" s="407"/>
      <c r="AG160" s="407"/>
      <c r="AH160" s="407"/>
      <c r="AI160" s="407"/>
      <c r="AJ160" s="407"/>
      <c r="AK160" s="407"/>
      <c r="AL160" s="407"/>
      <c r="AM160" s="407"/>
      <c r="AN160" s="407"/>
      <c r="AO160" s="407"/>
      <c r="AP160" s="407"/>
      <c r="AQ160" s="407"/>
      <c r="AR160" s="407"/>
      <c r="AS160" s="407"/>
      <c r="AT160" s="407"/>
      <c r="AU160" s="407"/>
      <c r="AV160" s="407"/>
      <c r="AW160" s="407"/>
      <c r="AX160" s="407"/>
      <c r="AY160" s="407"/>
      <c r="AZ160" s="407"/>
      <c r="BA160" s="407"/>
      <c r="BB160" s="407"/>
      <c r="BC160" s="407"/>
      <c r="BD160" s="407"/>
      <c r="BE160" s="407"/>
      <c r="BF160" s="407"/>
      <c r="BG160" s="407"/>
      <c r="BH160" s="407"/>
      <c r="BI160" s="407"/>
      <c r="BJ160" s="407"/>
      <c r="BK160" s="407"/>
      <c r="BL160" s="407"/>
      <c r="BM160" s="407"/>
      <c r="BN160" s="407"/>
      <c r="BO160" s="407"/>
      <c r="BP160" s="407"/>
      <c r="BQ160" s="407"/>
      <c r="BR160" s="407"/>
      <c r="BS160" s="407"/>
      <c r="BT160" s="373"/>
      <c r="BU160" s="373"/>
      <c r="BV160" s="373"/>
    </row>
  </sheetData>
  <mergeCells count="1">
    <mergeCell ref="G8:BT8"/>
  </mergeCells>
  <pageMargins left="0.7" right="0.7" top="0.75" bottom="0.75" header="0.3" footer="0.3"/>
  <pageSetup paperSize="9" scale="28"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EI191"/>
  <sheetViews>
    <sheetView view="pageBreakPreview" topLeftCell="T40" zoomScaleNormal="100" zoomScaleSheetLayoutView="100" workbookViewId="0">
      <selection activeCell="AU107" sqref="AU107"/>
    </sheetView>
  </sheetViews>
  <sheetFormatPr defaultColWidth="10" defaultRowHeight="12.75" x14ac:dyDescent="0.2"/>
  <cols>
    <col min="1" max="1" width="1.85546875" style="1" customWidth="1"/>
    <col min="2" max="2" width="1" style="1" customWidth="1"/>
    <col min="3" max="3" width="0.85546875" style="1" customWidth="1"/>
    <col min="4" max="4" width="58.28515625" style="1" customWidth="1"/>
    <col min="5" max="6" width="1" style="1" customWidth="1"/>
    <col min="7" max="7" width="16.85546875" style="1" customWidth="1"/>
    <col min="8" max="11" width="1" style="1" customWidth="1"/>
    <col min="12" max="12" width="17.85546875" style="1" customWidth="1"/>
    <col min="13" max="16" width="1" style="1" customWidth="1"/>
    <col min="17" max="17" width="17.85546875" style="1" customWidth="1"/>
    <col min="18" max="21" width="1" style="1" customWidth="1"/>
    <col min="22" max="22" width="17.85546875" style="1" customWidth="1"/>
    <col min="23" max="26" width="1" style="1" customWidth="1"/>
    <col min="27" max="27" width="17.85546875" style="1" customWidth="1"/>
    <col min="28" max="31" width="1" style="1" customWidth="1"/>
    <col min="32" max="32" width="17.85546875" style="1" customWidth="1"/>
    <col min="33" max="36" width="1" style="1" customWidth="1"/>
    <col min="37" max="37" width="17.85546875" style="1" customWidth="1"/>
    <col min="38" max="41" width="1" style="1" customWidth="1"/>
    <col min="42" max="42" width="17.85546875" style="1" customWidth="1"/>
    <col min="43" max="46" width="1" style="1" customWidth="1"/>
    <col min="47" max="47" width="15.7109375" style="1" customWidth="1"/>
    <col min="48" max="51" width="1" style="1" customWidth="1"/>
    <col min="52" max="52" width="17.85546875" style="1" customWidth="1"/>
    <col min="53" max="56" width="1" style="1" customWidth="1"/>
    <col min="57" max="57" width="17.85546875" style="1" customWidth="1"/>
    <col min="58" max="59" width="1" style="1" customWidth="1"/>
    <col min="60" max="61" width="1" style="1" hidden="1" customWidth="1"/>
    <col min="62" max="62" width="17.85546875" style="1" hidden="1" customWidth="1"/>
    <col min="63" max="66" width="1" style="1" hidden="1" customWidth="1"/>
    <col min="67" max="67" width="17.85546875" style="1" hidden="1" customWidth="1"/>
    <col min="68" max="69" width="1" style="1" hidden="1" customWidth="1"/>
    <col min="70" max="71" width="1" style="1" customWidth="1"/>
    <col min="72" max="72" width="16.140625" style="1" customWidth="1"/>
    <col min="73" max="74" width="1" style="1" customWidth="1"/>
    <col min="75" max="75" width="0.7109375" style="1" customWidth="1"/>
    <col min="76" max="76" width="3.28515625" style="1" customWidth="1"/>
    <col min="77" max="77" width="10" style="1"/>
    <col min="78" max="78" width="10.42578125" style="1" bestFit="1" customWidth="1"/>
    <col min="79" max="186" width="10" style="1"/>
    <col min="187" max="187" width="1.85546875" style="1" customWidth="1"/>
    <col min="188" max="188" width="1" style="1" customWidth="1"/>
    <col min="189" max="189" width="0.85546875" style="1" customWidth="1"/>
    <col min="190" max="190" width="58.28515625" style="1" customWidth="1"/>
    <col min="191" max="192" width="1" style="1" customWidth="1"/>
    <col min="193" max="193" width="16.85546875" style="1" customWidth="1"/>
    <col min="194" max="195" width="1" style="1" customWidth="1"/>
    <col min="196" max="240" width="0" style="1" hidden="1" customWidth="1"/>
    <col min="241" max="242" width="1" style="1" customWidth="1"/>
    <col min="243" max="243" width="17.85546875" style="1" customWidth="1"/>
    <col min="244" max="245" width="1" style="1" customWidth="1"/>
    <col min="246" max="255" width="0" style="1" hidden="1" customWidth="1"/>
    <col min="256" max="257" width="1" style="1" customWidth="1"/>
    <col min="258" max="258" width="16.140625" style="1" customWidth="1"/>
    <col min="259" max="262" width="1" style="1" customWidth="1"/>
    <col min="263" max="263" width="15.140625" style="1" customWidth="1"/>
    <col min="264" max="265" width="1" style="1" customWidth="1"/>
    <col min="266" max="310" width="0" style="1" hidden="1" customWidth="1"/>
    <col min="311" max="312" width="1" style="1" customWidth="1"/>
    <col min="313" max="313" width="17.85546875" style="1" customWidth="1"/>
    <col min="314" max="315" width="1" style="1" customWidth="1"/>
    <col min="316" max="325" width="0" style="1" hidden="1" customWidth="1"/>
    <col min="326" max="327" width="1" style="1" customWidth="1"/>
    <col min="328" max="328" width="15.7109375" style="1" customWidth="1"/>
    <col min="329" max="330" width="1" style="1" customWidth="1"/>
    <col min="331" max="331" width="0.7109375" style="1" customWidth="1"/>
    <col min="332" max="332" width="3.28515625" style="1" customWidth="1"/>
    <col min="333" max="333" width="10" style="1"/>
    <col min="334" max="334" width="10.42578125" style="1" bestFit="1" customWidth="1"/>
    <col min="335" max="442" width="10" style="1"/>
    <col min="443" max="443" width="1.85546875" style="1" customWidth="1"/>
    <col min="444" max="444" width="1" style="1" customWidth="1"/>
    <col min="445" max="445" width="0.85546875" style="1" customWidth="1"/>
    <col min="446" max="446" width="58.28515625" style="1" customWidth="1"/>
    <col min="447" max="448" width="1" style="1" customWidth="1"/>
    <col min="449" max="449" width="16.85546875" style="1" customWidth="1"/>
    <col min="450" max="451" width="1" style="1" customWidth="1"/>
    <col min="452" max="496" width="0" style="1" hidden="1" customWidth="1"/>
    <col min="497" max="498" width="1" style="1" customWidth="1"/>
    <col min="499" max="499" width="17.85546875" style="1" customWidth="1"/>
    <col min="500" max="501" width="1" style="1" customWidth="1"/>
    <col min="502" max="511" width="0" style="1" hidden="1" customWidth="1"/>
    <col min="512" max="513" width="1" style="1" customWidth="1"/>
    <col min="514" max="514" width="16.140625" style="1" customWidth="1"/>
    <col min="515" max="518" width="1" style="1" customWidth="1"/>
    <col min="519" max="519" width="15.140625" style="1" customWidth="1"/>
    <col min="520" max="521" width="1" style="1" customWidth="1"/>
    <col min="522" max="566" width="0" style="1" hidden="1" customWidth="1"/>
    <col min="567" max="568" width="1" style="1" customWidth="1"/>
    <col min="569" max="569" width="17.85546875" style="1" customWidth="1"/>
    <col min="570" max="571" width="1" style="1" customWidth="1"/>
    <col min="572" max="581" width="0" style="1" hidden="1" customWidth="1"/>
    <col min="582" max="583" width="1" style="1" customWidth="1"/>
    <col min="584" max="584" width="15.7109375" style="1" customWidth="1"/>
    <col min="585" max="586" width="1" style="1" customWidth="1"/>
    <col min="587" max="587" width="0.7109375" style="1" customWidth="1"/>
    <col min="588" max="588" width="3.28515625" style="1" customWidth="1"/>
    <col min="589" max="589" width="10" style="1"/>
    <col min="590" max="590" width="10.42578125" style="1" bestFit="1" customWidth="1"/>
    <col min="591" max="698" width="10" style="1"/>
    <col min="699" max="699" width="1.85546875" style="1" customWidth="1"/>
    <col min="700" max="700" width="1" style="1" customWidth="1"/>
    <col min="701" max="701" width="0.85546875" style="1" customWidth="1"/>
    <col min="702" max="702" width="58.28515625" style="1" customWidth="1"/>
    <col min="703" max="704" width="1" style="1" customWidth="1"/>
    <col min="705" max="705" width="16.85546875" style="1" customWidth="1"/>
    <col min="706" max="707" width="1" style="1" customWidth="1"/>
    <col min="708" max="752" width="0" style="1" hidden="1" customWidth="1"/>
    <col min="753" max="754" width="1" style="1" customWidth="1"/>
    <col min="755" max="755" width="17.85546875" style="1" customWidth="1"/>
    <col min="756" max="757" width="1" style="1" customWidth="1"/>
    <col min="758" max="767" width="0" style="1" hidden="1" customWidth="1"/>
    <col min="768" max="769" width="1" style="1" customWidth="1"/>
    <col min="770" max="770" width="16.140625" style="1" customWidth="1"/>
    <col min="771" max="774" width="1" style="1" customWidth="1"/>
    <col min="775" max="775" width="15.140625" style="1" customWidth="1"/>
    <col min="776" max="777" width="1" style="1" customWidth="1"/>
    <col min="778" max="822" width="0" style="1" hidden="1" customWidth="1"/>
    <col min="823" max="824" width="1" style="1" customWidth="1"/>
    <col min="825" max="825" width="17.85546875" style="1" customWidth="1"/>
    <col min="826" max="827" width="1" style="1" customWidth="1"/>
    <col min="828" max="837" width="0" style="1" hidden="1" customWidth="1"/>
    <col min="838" max="839" width="1" style="1" customWidth="1"/>
    <col min="840" max="840" width="15.7109375" style="1" customWidth="1"/>
    <col min="841" max="842" width="1" style="1" customWidth="1"/>
    <col min="843" max="843" width="0.7109375" style="1" customWidth="1"/>
    <col min="844" max="844" width="3.28515625" style="1" customWidth="1"/>
    <col min="845" max="845" width="10" style="1"/>
    <col min="846" max="846" width="10.42578125" style="1" bestFit="1" customWidth="1"/>
    <col min="847" max="954" width="10" style="1"/>
    <col min="955" max="955" width="1.85546875" style="1" customWidth="1"/>
    <col min="956" max="956" width="1" style="1" customWidth="1"/>
    <col min="957" max="957" width="0.85546875" style="1" customWidth="1"/>
    <col min="958" max="958" width="58.28515625" style="1" customWidth="1"/>
    <col min="959" max="960" width="1" style="1" customWidth="1"/>
    <col min="961" max="961" width="16.85546875" style="1" customWidth="1"/>
    <col min="962" max="963" width="1" style="1" customWidth="1"/>
    <col min="964" max="1008" width="0" style="1" hidden="1" customWidth="1"/>
    <col min="1009" max="1010" width="1" style="1" customWidth="1"/>
    <col min="1011" max="1011" width="17.85546875" style="1" customWidth="1"/>
    <col min="1012" max="1013" width="1" style="1" customWidth="1"/>
    <col min="1014" max="1023" width="0" style="1" hidden="1" customWidth="1"/>
    <col min="1024" max="1025" width="1" style="1" customWidth="1"/>
    <col min="1026" max="1026" width="16.140625" style="1" customWidth="1"/>
    <col min="1027" max="1030" width="1" style="1" customWidth="1"/>
    <col min="1031" max="1031" width="15.140625" style="1" customWidth="1"/>
    <col min="1032" max="1033" width="1" style="1" customWidth="1"/>
    <col min="1034" max="1078" width="0" style="1" hidden="1" customWidth="1"/>
    <col min="1079" max="1080" width="1" style="1" customWidth="1"/>
    <col min="1081" max="1081" width="17.85546875" style="1" customWidth="1"/>
    <col min="1082" max="1083" width="1" style="1" customWidth="1"/>
    <col min="1084" max="1093" width="0" style="1" hidden="1" customWidth="1"/>
    <col min="1094" max="1095" width="1" style="1" customWidth="1"/>
    <col min="1096" max="1096" width="15.7109375" style="1" customWidth="1"/>
    <col min="1097" max="1098" width="1" style="1" customWidth="1"/>
    <col min="1099" max="1099" width="0.7109375" style="1" customWidth="1"/>
    <col min="1100" max="1100" width="3.28515625" style="1" customWidth="1"/>
    <col min="1101" max="1101" width="10" style="1"/>
    <col min="1102" max="1102" width="10.42578125" style="1" bestFit="1" customWidth="1"/>
    <col min="1103" max="1210" width="10" style="1"/>
    <col min="1211" max="1211" width="1.85546875" style="1" customWidth="1"/>
    <col min="1212" max="1212" width="1" style="1" customWidth="1"/>
    <col min="1213" max="1213" width="0.85546875" style="1" customWidth="1"/>
    <col min="1214" max="1214" width="58.28515625" style="1" customWidth="1"/>
    <col min="1215" max="1216" width="1" style="1" customWidth="1"/>
    <col min="1217" max="1217" width="16.85546875" style="1" customWidth="1"/>
    <col min="1218" max="1219" width="1" style="1" customWidth="1"/>
    <col min="1220" max="1264" width="0" style="1" hidden="1" customWidth="1"/>
    <col min="1265" max="1266" width="1" style="1" customWidth="1"/>
    <col min="1267" max="1267" width="17.85546875" style="1" customWidth="1"/>
    <col min="1268" max="1269" width="1" style="1" customWidth="1"/>
    <col min="1270" max="1279" width="0" style="1" hidden="1" customWidth="1"/>
    <col min="1280" max="1281" width="1" style="1" customWidth="1"/>
    <col min="1282" max="1282" width="16.140625" style="1" customWidth="1"/>
    <col min="1283" max="1286" width="1" style="1" customWidth="1"/>
    <col min="1287" max="1287" width="15.140625" style="1" customWidth="1"/>
    <col min="1288" max="1289" width="1" style="1" customWidth="1"/>
    <col min="1290" max="1334" width="0" style="1" hidden="1" customWidth="1"/>
    <col min="1335" max="1336" width="1" style="1" customWidth="1"/>
    <col min="1337" max="1337" width="17.85546875" style="1" customWidth="1"/>
    <col min="1338" max="1339" width="1" style="1" customWidth="1"/>
    <col min="1340" max="1349" width="0" style="1" hidden="1" customWidth="1"/>
    <col min="1350" max="1351" width="1" style="1" customWidth="1"/>
    <col min="1352" max="1352" width="15.7109375" style="1" customWidth="1"/>
    <col min="1353" max="1354" width="1" style="1" customWidth="1"/>
    <col min="1355" max="1355" width="0.7109375" style="1" customWidth="1"/>
    <col min="1356" max="1356" width="3.28515625" style="1" customWidth="1"/>
    <col min="1357" max="1357" width="10" style="1"/>
    <col min="1358" max="1358" width="10.42578125" style="1" bestFit="1" customWidth="1"/>
    <col min="1359" max="1466" width="10" style="1"/>
    <col min="1467" max="1467" width="1.85546875" style="1" customWidth="1"/>
    <col min="1468" max="1468" width="1" style="1" customWidth="1"/>
    <col min="1469" max="1469" width="0.85546875" style="1" customWidth="1"/>
    <col min="1470" max="1470" width="58.28515625" style="1" customWidth="1"/>
    <col min="1471" max="1472" width="1" style="1" customWidth="1"/>
    <col min="1473" max="1473" width="16.85546875" style="1" customWidth="1"/>
    <col min="1474" max="1475" width="1" style="1" customWidth="1"/>
    <col min="1476" max="1520" width="0" style="1" hidden="1" customWidth="1"/>
    <col min="1521" max="1522" width="1" style="1" customWidth="1"/>
    <col min="1523" max="1523" width="17.85546875" style="1" customWidth="1"/>
    <col min="1524" max="1525" width="1" style="1" customWidth="1"/>
    <col min="1526" max="1535" width="0" style="1" hidden="1" customWidth="1"/>
    <col min="1536" max="1537" width="1" style="1" customWidth="1"/>
    <col min="1538" max="1538" width="16.140625" style="1" customWidth="1"/>
    <col min="1539" max="1542" width="1" style="1" customWidth="1"/>
    <col min="1543" max="1543" width="15.140625" style="1" customWidth="1"/>
    <col min="1544" max="1545" width="1" style="1" customWidth="1"/>
    <col min="1546" max="1590" width="0" style="1" hidden="1" customWidth="1"/>
    <col min="1591" max="1592" width="1" style="1" customWidth="1"/>
    <col min="1593" max="1593" width="17.85546875" style="1" customWidth="1"/>
    <col min="1594" max="1595" width="1" style="1" customWidth="1"/>
    <col min="1596" max="1605" width="0" style="1" hidden="1" customWidth="1"/>
    <col min="1606" max="1607" width="1" style="1" customWidth="1"/>
    <col min="1608" max="1608" width="15.7109375" style="1" customWidth="1"/>
    <col min="1609" max="1610" width="1" style="1" customWidth="1"/>
    <col min="1611" max="1611" width="0.7109375" style="1" customWidth="1"/>
    <col min="1612" max="1612" width="3.28515625" style="1" customWidth="1"/>
    <col min="1613" max="1613" width="10" style="1"/>
    <col min="1614" max="1614" width="10.42578125" style="1" bestFit="1" customWidth="1"/>
    <col min="1615" max="1722" width="10" style="1"/>
    <col min="1723" max="1723" width="1.85546875" style="1" customWidth="1"/>
    <col min="1724" max="1724" width="1" style="1" customWidth="1"/>
    <col min="1725" max="1725" width="0.85546875" style="1" customWidth="1"/>
    <col min="1726" max="1726" width="58.28515625" style="1" customWidth="1"/>
    <col min="1727" max="1728" width="1" style="1" customWidth="1"/>
    <col min="1729" max="1729" width="16.85546875" style="1" customWidth="1"/>
    <col min="1730" max="1731" width="1" style="1" customWidth="1"/>
    <col min="1732" max="1776" width="0" style="1" hidden="1" customWidth="1"/>
    <col min="1777" max="1778" width="1" style="1" customWidth="1"/>
    <col min="1779" max="1779" width="17.85546875" style="1" customWidth="1"/>
    <col min="1780" max="1781" width="1" style="1" customWidth="1"/>
    <col min="1782" max="1791" width="0" style="1" hidden="1" customWidth="1"/>
    <col min="1792" max="1793" width="1" style="1" customWidth="1"/>
    <col min="1794" max="1794" width="16.140625" style="1" customWidth="1"/>
    <col min="1795" max="1798" width="1" style="1" customWidth="1"/>
    <col min="1799" max="1799" width="15.140625" style="1" customWidth="1"/>
    <col min="1800" max="1801" width="1" style="1" customWidth="1"/>
    <col min="1802" max="1846" width="0" style="1" hidden="1" customWidth="1"/>
    <col min="1847" max="1848" width="1" style="1" customWidth="1"/>
    <col min="1849" max="1849" width="17.85546875" style="1" customWidth="1"/>
    <col min="1850" max="1851" width="1" style="1" customWidth="1"/>
    <col min="1852" max="1861" width="0" style="1" hidden="1" customWidth="1"/>
    <col min="1862" max="1863" width="1" style="1" customWidth="1"/>
    <col min="1864" max="1864" width="15.7109375" style="1" customWidth="1"/>
    <col min="1865" max="1866" width="1" style="1" customWidth="1"/>
    <col min="1867" max="1867" width="0.7109375" style="1" customWidth="1"/>
    <col min="1868" max="1868" width="3.28515625" style="1" customWidth="1"/>
    <col min="1869" max="1869" width="10" style="1"/>
    <col min="1870" max="1870" width="10.42578125" style="1" bestFit="1" customWidth="1"/>
    <col min="1871" max="1978" width="10" style="1"/>
    <col min="1979" max="1979" width="1.85546875" style="1" customWidth="1"/>
    <col min="1980" max="1980" width="1" style="1" customWidth="1"/>
    <col min="1981" max="1981" width="0.85546875" style="1" customWidth="1"/>
    <col min="1982" max="1982" width="58.28515625" style="1" customWidth="1"/>
    <col min="1983" max="1984" width="1" style="1" customWidth="1"/>
    <col min="1985" max="1985" width="16.85546875" style="1" customWidth="1"/>
    <col min="1986" max="1987" width="1" style="1" customWidth="1"/>
    <col min="1988" max="2032" width="0" style="1" hidden="1" customWidth="1"/>
    <col min="2033" max="2034" width="1" style="1" customWidth="1"/>
    <col min="2035" max="2035" width="17.85546875" style="1" customWidth="1"/>
    <col min="2036" max="2037" width="1" style="1" customWidth="1"/>
    <col min="2038" max="2047" width="0" style="1" hidden="1" customWidth="1"/>
    <col min="2048" max="2049" width="1" style="1" customWidth="1"/>
    <col min="2050" max="2050" width="16.140625" style="1" customWidth="1"/>
    <col min="2051" max="2054" width="1" style="1" customWidth="1"/>
    <col min="2055" max="2055" width="15.140625" style="1" customWidth="1"/>
    <col min="2056" max="2057" width="1" style="1" customWidth="1"/>
    <col min="2058" max="2102" width="0" style="1" hidden="1" customWidth="1"/>
    <col min="2103" max="2104" width="1" style="1" customWidth="1"/>
    <col min="2105" max="2105" width="17.85546875" style="1" customWidth="1"/>
    <col min="2106" max="2107" width="1" style="1" customWidth="1"/>
    <col min="2108" max="2117" width="0" style="1" hidden="1" customWidth="1"/>
    <col min="2118" max="2119" width="1" style="1" customWidth="1"/>
    <col min="2120" max="2120" width="15.7109375" style="1" customWidth="1"/>
    <col min="2121" max="2122" width="1" style="1" customWidth="1"/>
    <col min="2123" max="2123" width="0.7109375" style="1" customWidth="1"/>
    <col min="2124" max="2124" width="3.28515625" style="1" customWidth="1"/>
    <col min="2125" max="2125" width="10" style="1"/>
    <col min="2126" max="2126" width="10.42578125" style="1" bestFit="1" customWidth="1"/>
    <col min="2127" max="2234" width="10" style="1"/>
    <col min="2235" max="2235" width="1.85546875" style="1" customWidth="1"/>
    <col min="2236" max="2236" width="1" style="1" customWidth="1"/>
    <col min="2237" max="2237" width="0.85546875" style="1" customWidth="1"/>
    <col min="2238" max="2238" width="58.28515625" style="1" customWidth="1"/>
    <col min="2239" max="2240" width="1" style="1" customWidth="1"/>
    <col min="2241" max="2241" width="16.85546875" style="1" customWidth="1"/>
    <col min="2242" max="2243" width="1" style="1" customWidth="1"/>
    <col min="2244" max="2288" width="0" style="1" hidden="1" customWidth="1"/>
    <col min="2289" max="2290" width="1" style="1" customWidth="1"/>
    <col min="2291" max="2291" width="17.85546875" style="1" customWidth="1"/>
    <col min="2292" max="2293" width="1" style="1" customWidth="1"/>
    <col min="2294" max="2303" width="0" style="1" hidden="1" customWidth="1"/>
    <col min="2304" max="2305" width="1" style="1" customWidth="1"/>
    <col min="2306" max="2306" width="16.140625" style="1" customWidth="1"/>
    <col min="2307" max="2310" width="1" style="1" customWidth="1"/>
    <col min="2311" max="2311" width="15.140625" style="1" customWidth="1"/>
    <col min="2312" max="2313" width="1" style="1" customWidth="1"/>
    <col min="2314" max="2358" width="0" style="1" hidden="1" customWidth="1"/>
    <col min="2359" max="2360" width="1" style="1" customWidth="1"/>
    <col min="2361" max="2361" width="17.85546875" style="1" customWidth="1"/>
    <col min="2362" max="2363" width="1" style="1" customWidth="1"/>
    <col min="2364" max="2373" width="0" style="1" hidden="1" customWidth="1"/>
    <col min="2374" max="2375" width="1" style="1" customWidth="1"/>
    <col min="2376" max="2376" width="15.7109375" style="1" customWidth="1"/>
    <col min="2377" max="2378" width="1" style="1" customWidth="1"/>
    <col min="2379" max="2379" width="0.7109375" style="1" customWidth="1"/>
    <col min="2380" max="2380" width="3.28515625" style="1" customWidth="1"/>
    <col min="2381" max="2381" width="10" style="1"/>
    <col min="2382" max="2382" width="10.42578125" style="1" bestFit="1" customWidth="1"/>
    <col min="2383" max="2490" width="10" style="1"/>
    <col min="2491" max="2491" width="1.85546875" style="1" customWidth="1"/>
    <col min="2492" max="2492" width="1" style="1" customWidth="1"/>
    <col min="2493" max="2493" width="0.85546875" style="1" customWidth="1"/>
    <col min="2494" max="2494" width="58.28515625" style="1" customWidth="1"/>
    <col min="2495" max="2496" width="1" style="1" customWidth="1"/>
    <col min="2497" max="2497" width="16.85546875" style="1" customWidth="1"/>
    <col min="2498" max="2499" width="1" style="1" customWidth="1"/>
    <col min="2500" max="2544" width="0" style="1" hidden="1" customWidth="1"/>
    <col min="2545" max="2546" width="1" style="1" customWidth="1"/>
    <col min="2547" max="2547" width="17.85546875" style="1" customWidth="1"/>
    <col min="2548" max="2549" width="1" style="1" customWidth="1"/>
    <col min="2550" max="2559" width="0" style="1" hidden="1" customWidth="1"/>
    <col min="2560" max="2561" width="1" style="1" customWidth="1"/>
    <col min="2562" max="2562" width="16.140625" style="1" customWidth="1"/>
    <col min="2563" max="2566" width="1" style="1" customWidth="1"/>
    <col min="2567" max="2567" width="15.140625" style="1" customWidth="1"/>
    <col min="2568" max="2569" width="1" style="1" customWidth="1"/>
    <col min="2570" max="2614" width="0" style="1" hidden="1" customWidth="1"/>
    <col min="2615" max="2616" width="1" style="1" customWidth="1"/>
    <col min="2617" max="2617" width="17.85546875" style="1" customWidth="1"/>
    <col min="2618" max="2619" width="1" style="1" customWidth="1"/>
    <col min="2620" max="2629" width="0" style="1" hidden="1" customWidth="1"/>
    <col min="2630" max="2631" width="1" style="1" customWidth="1"/>
    <col min="2632" max="2632" width="15.7109375" style="1" customWidth="1"/>
    <col min="2633" max="2634" width="1" style="1" customWidth="1"/>
    <col min="2635" max="2635" width="0.7109375" style="1" customWidth="1"/>
    <col min="2636" max="2636" width="3.28515625" style="1" customWidth="1"/>
    <col min="2637" max="2637" width="10" style="1"/>
    <col min="2638" max="2638" width="10.42578125" style="1" bestFit="1" customWidth="1"/>
    <col min="2639" max="2746" width="10" style="1"/>
    <col min="2747" max="2747" width="1.85546875" style="1" customWidth="1"/>
    <col min="2748" max="2748" width="1" style="1" customWidth="1"/>
    <col min="2749" max="2749" width="0.85546875" style="1" customWidth="1"/>
    <col min="2750" max="2750" width="58.28515625" style="1" customWidth="1"/>
    <col min="2751" max="2752" width="1" style="1" customWidth="1"/>
    <col min="2753" max="2753" width="16.85546875" style="1" customWidth="1"/>
    <col min="2754" max="2755" width="1" style="1" customWidth="1"/>
    <col min="2756" max="2800" width="0" style="1" hidden="1" customWidth="1"/>
    <col min="2801" max="2802" width="1" style="1" customWidth="1"/>
    <col min="2803" max="2803" width="17.85546875" style="1" customWidth="1"/>
    <col min="2804" max="2805" width="1" style="1" customWidth="1"/>
    <col min="2806" max="2815" width="0" style="1" hidden="1" customWidth="1"/>
    <col min="2816" max="2817" width="1" style="1" customWidth="1"/>
    <col min="2818" max="2818" width="16.140625" style="1" customWidth="1"/>
    <col min="2819" max="2822" width="1" style="1" customWidth="1"/>
    <col min="2823" max="2823" width="15.140625" style="1" customWidth="1"/>
    <col min="2824" max="2825" width="1" style="1" customWidth="1"/>
    <col min="2826" max="2870" width="0" style="1" hidden="1" customWidth="1"/>
    <col min="2871" max="2872" width="1" style="1" customWidth="1"/>
    <col min="2873" max="2873" width="17.85546875" style="1" customWidth="1"/>
    <col min="2874" max="2875" width="1" style="1" customWidth="1"/>
    <col min="2876" max="2885" width="0" style="1" hidden="1" customWidth="1"/>
    <col min="2886" max="2887" width="1" style="1" customWidth="1"/>
    <col min="2888" max="2888" width="15.7109375" style="1" customWidth="1"/>
    <col min="2889" max="2890" width="1" style="1" customWidth="1"/>
    <col min="2891" max="2891" width="0.7109375" style="1" customWidth="1"/>
    <col min="2892" max="2892" width="3.28515625" style="1" customWidth="1"/>
    <col min="2893" max="2893" width="10" style="1"/>
    <col min="2894" max="2894" width="10.42578125" style="1" bestFit="1" customWidth="1"/>
    <col min="2895" max="3002" width="10" style="1"/>
    <col min="3003" max="3003" width="1.85546875" style="1" customWidth="1"/>
    <col min="3004" max="3004" width="1" style="1" customWidth="1"/>
    <col min="3005" max="3005" width="0.85546875" style="1" customWidth="1"/>
    <col min="3006" max="3006" width="58.28515625" style="1" customWidth="1"/>
    <col min="3007" max="3008" width="1" style="1" customWidth="1"/>
    <col min="3009" max="3009" width="16.85546875" style="1" customWidth="1"/>
    <col min="3010" max="3011" width="1" style="1" customWidth="1"/>
    <col min="3012" max="3056" width="0" style="1" hidden="1" customWidth="1"/>
    <col min="3057" max="3058" width="1" style="1" customWidth="1"/>
    <col min="3059" max="3059" width="17.85546875" style="1" customWidth="1"/>
    <col min="3060" max="3061" width="1" style="1" customWidth="1"/>
    <col min="3062" max="3071" width="0" style="1" hidden="1" customWidth="1"/>
    <col min="3072" max="3073" width="1" style="1" customWidth="1"/>
    <col min="3074" max="3074" width="16.140625" style="1" customWidth="1"/>
    <col min="3075" max="3078" width="1" style="1" customWidth="1"/>
    <col min="3079" max="3079" width="15.140625" style="1" customWidth="1"/>
    <col min="3080" max="3081" width="1" style="1" customWidth="1"/>
    <col min="3082" max="3126" width="0" style="1" hidden="1" customWidth="1"/>
    <col min="3127" max="3128" width="1" style="1" customWidth="1"/>
    <col min="3129" max="3129" width="17.85546875" style="1" customWidth="1"/>
    <col min="3130" max="3131" width="1" style="1" customWidth="1"/>
    <col min="3132" max="3141" width="0" style="1" hidden="1" customWidth="1"/>
    <col min="3142" max="3143" width="1" style="1" customWidth="1"/>
    <col min="3144" max="3144" width="15.7109375" style="1" customWidth="1"/>
    <col min="3145" max="3146" width="1" style="1" customWidth="1"/>
    <col min="3147" max="3147" width="0.7109375" style="1" customWidth="1"/>
    <col min="3148" max="3148" width="3.28515625" style="1" customWidth="1"/>
    <col min="3149" max="3149" width="10" style="1"/>
    <col min="3150" max="3150" width="10.42578125" style="1" bestFit="1" customWidth="1"/>
    <col min="3151" max="3258" width="10" style="1"/>
    <col min="3259" max="3259" width="1.85546875" style="1" customWidth="1"/>
    <col min="3260" max="3260" width="1" style="1" customWidth="1"/>
    <col min="3261" max="3261" width="0.85546875" style="1" customWidth="1"/>
    <col min="3262" max="3262" width="58.28515625" style="1" customWidth="1"/>
    <col min="3263" max="3264" width="1" style="1" customWidth="1"/>
    <col min="3265" max="3265" width="16.85546875" style="1" customWidth="1"/>
    <col min="3266" max="3267" width="1" style="1" customWidth="1"/>
    <col min="3268" max="3312" width="0" style="1" hidden="1" customWidth="1"/>
    <col min="3313" max="3314" width="1" style="1" customWidth="1"/>
    <col min="3315" max="3315" width="17.85546875" style="1" customWidth="1"/>
    <col min="3316" max="3317" width="1" style="1" customWidth="1"/>
    <col min="3318" max="3327" width="0" style="1" hidden="1" customWidth="1"/>
    <col min="3328" max="3329" width="1" style="1" customWidth="1"/>
    <col min="3330" max="3330" width="16.140625" style="1" customWidth="1"/>
    <col min="3331" max="3334" width="1" style="1" customWidth="1"/>
    <col min="3335" max="3335" width="15.140625" style="1" customWidth="1"/>
    <col min="3336" max="3337" width="1" style="1" customWidth="1"/>
    <col min="3338" max="3382" width="0" style="1" hidden="1" customWidth="1"/>
    <col min="3383" max="3384" width="1" style="1" customWidth="1"/>
    <col min="3385" max="3385" width="17.85546875" style="1" customWidth="1"/>
    <col min="3386" max="3387" width="1" style="1" customWidth="1"/>
    <col min="3388" max="3397" width="0" style="1" hidden="1" customWidth="1"/>
    <col min="3398" max="3399" width="1" style="1" customWidth="1"/>
    <col min="3400" max="3400" width="15.7109375" style="1" customWidth="1"/>
    <col min="3401" max="3402" width="1" style="1" customWidth="1"/>
    <col min="3403" max="3403" width="0.7109375" style="1" customWidth="1"/>
    <col min="3404" max="3404" width="3.28515625" style="1" customWidth="1"/>
    <col min="3405" max="3405" width="10" style="1"/>
    <col min="3406" max="3406" width="10.42578125" style="1" bestFit="1" customWidth="1"/>
    <col min="3407" max="3514" width="10" style="1"/>
    <col min="3515" max="3515" width="1.85546875" style="1" customWidth="1"/>
    <col min="3516" max="3516" width="1" style="1" customWidth="1"/>
    <col min="3517" max="3517" width="0.85546875" style="1" customWidth="1"/>
    <col min="3518" max="3518" width="58.28515625" style="1" customWidth="1"/>
    <col min="3519" max="3520" width="1" style="1" customWidth="1"/>
    <col min="3521" max="3521" width="16.85546875" style="1" customWidth="1"/>
    <col min="3522" max="3523" width="1" style="1" customWidth="1"/>
    <col min="3524" max="3568" width="0" style="1" hidden="1" customWidth="1"/>
    <col min="3569" max="3570" width="1" style="1" customWidth="1"/>
    <col min="3571" max="3571" width="17.85546875" style="1" customWidth="1"/>
    <col min="3572" max="3573" width="1" style="1" customWidth="1"/>
    <col min="3574" max="3583" width="0" style="1" hidden="1" customWidth="1"/>
    <col min="3584" max="3585" width="1" style="1" customWidth="1"/>
    <col min="3586" max="3586" width="16.140625" style="1" customWidth="1"/>
    <col min="3587" max="3590" width="1" style="1" customWidth="1"/>
    <col min="3591" max="3591" width="15.140625" style="1" customWidth="1"/>
    <col min="3592" max="3593" width="1" style="1" customWidth="1"/>
    <col min="3594" max="3638" width="0" style="1" hidden="1" customWidth="1"/>
    <col min="3639" max="3640" width="1" style="1" customWidth="1"/>
    <col min="3641" max="3641" width="17.85546875" style="1" customWidth="1"/>
    <col min="3642" max="3643" width="1" style="1" customWidth="1"/>
    <col min="3644" max="3653" width="0" style="1" hidden="1" customWidth="1"/>
    <col min="3654" max="3655" width="1" style="1" customWidth="1"/>
    <col min="3656" max="3656" width="15.7109375" style="1" customWidth="1"/>
    <col min="3657" max="3658" width="1" style="1" customWidth="1"/>
    <col min="3659" max="3659" width="0.7109375" style="1" customWidth="1"/>
    <col min="3660" max="3660" width="3.28515625" style="1" customWidth="1"/>
    <col min="3661" max="3661" width="10" style="1"/>
    <col min="3662" max="3662" width="10.42578125" style="1" bestFit="1" customWidth="1"/>
    <col min="3663" max="3770" width="10" style="1"/>
    <col min="3771" max="3771" width="1.85546875" style="1" customWidth="1"/>
    <col min="3772" max="3772" width="1" style="1" customWidth="1"/>
    <col min="3773" max="3773" width="0.85546875" style="1" customWidth="1"/>
    <col min="3774" max="3774" width="58.28515625" style="1" customWidth="1"/>
    <col min="3775" max="3776" width="1" style="1" customWidth="1"/>
    <col min="3777" max="3777" width="16.85546875" style="1" customWidth="1"/>
    <col min="3778" max="3779" width="1" style="1" customWidth="1"/>
    <col min="3780" max="3824" width="0" style="1" hidden="1" customWidth="1"/>
    <col min="3825" max="3826" width="1" style="1" customWidth="1"/>
    <col min="3827" max="3827" width="17.85546875" style="1" customWidth="1"/>
    <col min="3828" max="3829" width="1" style="1" customWidth="1"/>
    <col min="3830" max="3839" width="0" style="1" hidden="1" customWidth="1"/>
    <col min="3840" max="3841" width="1" style="1" customWidth="1"/>
    <col min="3842" max="3842" width="16.140625" style="1" customWidth="1"/>
    <col min="3843" max="3846" width="1" style="1" customWidth="1"/>
    <col min="3847" max="3847" width="15.140625" style="1" customWidth="1"/>
    <col min="3848" max="3849" width="1" style="1" customWidth="1"/>
    <col min="3850" max="3894" width="0" style="1" hidden="1" customWidth="1"/>
    <col min="3895" max="3896" width="1" style="1" customWidth="1"/>
    <col min="3897" max="3897" width="17.85546875" style="1" customWidth="1"/>
    <col min="3898" max="3899" width="1" style="1" customWidth="1"/>
    <col min="3900" max="3909" width="0" style="1" hidden="1" customWidth="1"/>
    <col min="3910" max="3911" width="1" style="1" customWidth="1"/>
    <col min="3912" max="3912" width="15.7109375" style="1" customWidth="1"/>
    <col min="3913" max="3914" width="1" style="1" customWidth="1"/>
    <col min="3915" max="3915" width="0.7109375" style="1" customWidth="1"/>
    <col min="3916" max="3916" width="3.28515625" style="1" customWidth="1"/>
    <col min="3917" max="3917" width="10" style="1"/>
    <col min="3918" max="3918" width="10.42578125" style="1" bestFit="1" customWidth="1"/>
    <col min="3919" max="4026" width="10" style="1"/>
    <col min="4027" max="4027" width="1.85546875" style="1" customWidth="1"/>
    <col min="4028" max="4028" width="1" style="1" customWidth="1"/>
    <col min="4029" max="4029" width="0.85546875" style="1" customWidth="1"/>
    <col min="4030" max="4030" width="58.28515625" style="1" customWidth="1"/>
    <col min="4031" max="4032" width="1" style="1" customWidth="1"/>
    <col min="4033" max="4033" width="16.85546875" style="1" customWidth="1"/>
    <col min="4034" max="4035" width="1" style="1" customWidth="1"/>
    <col min="4036" max="4080" width="0" style="1" hidden="1" customWidth="1"/>
    <col min="4081" max="4082" width="1" style="1" customWidth="1"/>
    <col min="4083" max="4083" width="17.85546875" style="1" customWidth="1"/>
    <col min="4084" max="4085" width="1" style="1" customWidth="1"/>
    <col min="4086" max="4095" width="0" style="1" hidden="1" customWidth="1"/>
    <col min="4096" max="4097" width="1" style="1" customWidth="1"/>
    <col min="4098" max="4098" width="16.140625" style="1" customWidth="1"/>
    <col min="4099" max="4102" width="1" style="1" customWidth="1"/>
    <col min="4103" max="4103" width="15.140625" style="1" customWidth="1"/>
    <col min="4104" max="4105" width="1" style="1" customWidth="1"/>
    <col min="4106" max="4150" width="0" style="1" hidden="1" customWidth="1"/>
    <col min="4151" max="4152" width="1" style="1" customWidth="1"/>
    <col min="4153" max="4153" width="17.85546875" style="1" customWidth="1"/>
    <col min="4154" max="4155" width="1" style="1" customWidth="1"/>
    <col min="4156" max="4165" width="0" style="1" hidden="1" customWidth="1"/>
    <col min="4166" max="4167" width="1" style="1" customWidth="1"/>
    <col min="4168" max="4168" width="15.7109375" style="1" customWidth="1"/>
    <col min="4169" max="4170" width="1" style="1" customWidth="1"/>
    <col min="4171" max="4171" width="0.7109375" style="1" customWidth="1"/>
    <col min="4172" max="4172" width="3.28515625" style="1" customWidth="1"/>
    <col min="4173" max="4173" width="10" style="1"/>
    <col min="4174" max="4174" width="10.42578125" style="1" bestFit="1" customWidth="1"/>
    <col min="4175" max="4282" width="10" style="1"/>
    <col min="4283" max="4283" width="1.85546875" style="1" customWidth="1"/>
    <col min="4284" max="4284" width="1" style="1" customWidth="1"/>
    <col min="4285" max="4285" width="0.85546875" style="1" customWidth="1"/>
    <col min="4286" max="4286" width="58.28515625" style="1" customWidth="1"/>
    <col min="4287" max="4288" width="1" style="1" customWidth="1"/>
    <col min="4289" max="4289" width="16.85546875" style="1" customWidth="1"/>
    <col min="4290" max="4291" width="1" style="1" customWidth="1"/>
    <col min="4292" max="4336" width="0" style="1" hidden="1" customWidth="1"/>
    <col min="4337" max="4338" width="1" style="1" customWidth="1"/>
    <col min="4339" max="4339" width="17.85546875" style="1" customWidth="1"/>
    <col min="4340" max="4341" width="1" style="1" customWidth="1"/>
    <col min="4342" max="4351" width="0" style="1" hidden="1" customWidth="1"/>
    <col min="4352" max="4353" width="1" style="1" customWidth="1"/>
    <col min="4354" max="4354" width="16.140625" style="1" customWidth="1"/>
    <col min="4355" max="4358" width="1" style="1" customWidth="1"/>
    <col min="4359" max="4359" width="15.140625" style="1" customWidth="1"/>
    <col min="4360" max="4361" width="1" style="1" customWidth="1"/>
    <col min="4362" max="4406" width="0" style="1" hidden="1" customWidth="1"/>
    <col min="4407" max="4408" width="1" style="1" customWidth="1"/>
    <col min="4409" max="4409" width="17.85546875" style="1" customWidth="1"/>
    <col min="4410" max="4411" width="1" style="1" customWidth="1"/>
    <col min="4412" max="4421" width="0" style="1" hidden="1" customWidth="1"/>
    <col min="4422" max="4423" width="1" style="1" customWidth="1"/>
    <col min="4424" max="4424" width="15.7109375" style="1" customWidth="1"/>
    <col min="4425" max="4426" width="1" style="1" customWidth="1"/>
    <col min="4427" max="4427" width="0.7109375" style="1" customWidth="1"/>
    <col min="4428" max="4428" width="3.28515625" style="1" customWidth="1"/>
    <col min="4429" max="4429" width="10" style="1"/>
    <col min="4430" max="4430" width="10.42578125" style="1" bestFit="1" customWidth="1"/>
    <col min="4431" max="4538" width="10" style="1"/>
    <col min="4539" max="4539" width="1.85546875" style="1" customWidth="1"/>
    <col min="4540" max="4540" width="1" style="1" customWidth="1"/>
    <col min="4541" max="4541" width="0.85546875" style="1" customWidth="1"/>
    <col min="4542" max="4542" width="58.28515625" style="1" customWidth="1"/>
    <col min="4543" max="4544" width="1" style="1" customWidth="1"/>
    <col min="4545" max="4545" width="16.85546875" style="1" customWidth="1"/>
    <col min="4546" max="4547" width="1" style="1" customWidth="1"/>
    <col min="4548" max="4592" width="0" style="1" hidden="1" customWidth="1"/>
    <col min="4593" max="4594" width="1" style="1" customWidth="1"/>
    <col min="4595" max="4595" width="17.85546875" style="1" customWidth="1"/>
    <col min="4596" max="4597" width="1" style="1" customWidth="1"/>
    <col min="4598" max="4607" width="0" style="1" hidden="1" customWidth="1"/>
    <col min="4608" max="4609" width="1" style="1" customWidth="1"/>
    <col min="4610" max="4610" width="16.140625" style="1" customWidth="1"/>
    <col min="4611" max="4614" width="1" style="1" customWidth="1"/>
    <col min="4615" max="4615" width="15.140625" style="1" customWidth="1"/>
    <col min="4616" max="4617" width="1" style="1" customWidth="1"/>
    <col min="4618" max="4662" width="0" style="1" hidden="1" customWidth="1"/>
    <col min="4663" max="4664" width="1" style="1" customWidth="1"/>
    <col min="4665" max="4665" width="17.85546875" style="1" customWidth="1"/>
    <col min="4666" max="4667" width="1" style="1" customWidth="1"/>
    <col min="4668" max="4677" width="0" style="1" hidden="1" customWidth="1"/>
    <col min="4678" max="4679" width="1" style="1" customWidth="1"/>
    <col min="4680" max="4680" width="15.7109375" style="1" customWidth="1"/>
    <col min="4681" max="4682" width="1" style="1" customWidth="1"/>
    <col min="4683" max="4683" width="0.7109375" style="1" customWidth="1"/>
    <col min="4684" max="4684" width="3.28515625" style="1" customWidth="1"/>
    <col min="4685" max="4685" width="10" style="1"/>
    <col min="4686" max="4686" width="10.42578125" style="1" bestFit="1" customWidth="1"/>
    <col min="4687" max="4794" width="10" style="1"/>
    <col min="4795" max="4795" width="1.85546875" style="1" customWidth="1"/>
    <col min="4796" max="4796" width="1" style="1" customWidth="1"/>
    <col min="4797" max="4797" width="0.85546875" style="1" customWidth="1"/>
    <col min="4798" max="4798" width="58.28515625" style="1" customWidth="1"/>
    <col min="4799" max="4800" width="1" style="1" customWidth="1"/>
    <col min="4801" max="4801" width="16.85546875" style="1" customWidth="1"/>
    <col min="4802" max="4803" width="1" style="1" customWidth="1"/>
    <col min="4804" max="4848" width="0" style="1" hidden="1" customWidth="1"/>
    <col min="4849" max="4850" width="1" style="1" customWidth="1"/>
    <col min="4851" max="4851" width="17.85546875" style="1" customWidth="1"/>
    <col min="4852" max="4853" width="1" style="1" customWidth="1"/>
    <col min="4854" max="4863" width="0" style="1" hidden="1" customWidth="1"/>
    <col min="4864" max="4865" width="1" style="1" customWidth="1"/>
    <col min="4866" max="4866" width="16.140625" style="1" customWidth="1"/>
    <col min="4867" max="4870" width="1" style="1" customWidth="1"/>
    <col min="4871" max="4871" width="15.140625" style="1" customWidth="1"/>
    <col min="4872" max="4873" width="1" style="1" customWidth="1"/>
    <col min="4874" max="4918" width="0" style="1" hidden="1" customWidth="1"/>
    <col min="4919" max="4920" width="1" style="1" customWidth="1"/>
    <col min="4921" max="4921" width="17.85546875" style="1" customWidth="1"/>
    <col min="4922" max="4923" width="1" style="1" customWidth="1"/>
    <col min="4924" max="4933" width="0" style="1" hidden="1" customWidth="1"/>
    <col min="4934" max="4935" width="1" style="1" customWidth="1"/>
    <col min="4936" max="4936" width="15.7109375" style="1" customWidth="1"/>
    <col min="4937" max="4938" width="1" style="1" customWidth="1"/>
    <col min="4939" max="4939" width="0.7109375" style="1" customWidth="1"/>
    <col min="4940" max="4940" width="3.28515625" style="1" customWidth="1"/>
    <col min="4941" max="4941" width="10" style="1"/>
    <col min="4942" max="4942" width="10.42578125" style="1" bestFit="1" customWidth="1"/>
    <col min="4943" max="5050" width="10" style="1"/>
    <col min="5051" max="5051" width="1.85546875" style="1" customWidth="1"/>
    <col min="5052" max="5052" width="1" style="1" customWidth="1"/>
    <col min="5053" max="5053" width="0.85546875" style="1" customWidth="1"/>
    <col min="5054" max="5054" width="58.28515625" style="1" customWidth="1"/>
    <col min="5055" max="5056" width="1" style="1" customWidth="1"/>
    <col min="5057" max="5057" width="16.85546875" style="1" customWidth="1"/>
    <col min="5058" max="5059" width="1" style="1" customWidth="1"/>
    <col min="5060" max="5104" width="0" style="1" hidden="1" customWidth="1"/>
    <col min="5105" max="5106" width="1" style="1" customWidth="1"/>
    <col min="5107" max="5107" width="17.85546875" style="1" customWidth="1"/>
    <col min="5108" max="5109" width="1" style="1" customWidth="1"/>
    <col min="5110" max="5119" width="0" style="1" hidden="1" customWidth="1"/>
    <col min="5120" max="5121" width="1" style="1" customWidth="1"/>
    <col min="5122" max="5122" width="16.140625" style="1" customWidth="1"/>
    <col min="5123" max="5126" width="1" style="1" customWidth="1"/>
    <col min="5127" max="5127" width="15.140625" style="1" customWidth="1"/>
    <col min="5128" max="5129" width="1" style="1" customWidth="1"/>
    <col min="5130" max="5174" width="0" style="1" hidden="1" customWidth="1"/>
    <col min="5175" max="5176" width="1" style="1" customWidth="1"/>
    <col min="5177" max="5177" width="17.85546875" style="1" customWidth="1"/>
    <col min="5178" max="5179" width="1" style="1" customWidth="1"/>
    <col min="5180" max="5189" width="0" style="1" hidden="1" customWidth="1"/>
    <col min="5190" max="5191" width="1" style="1" customWidth="1"/>
    <col min="5192" max="5192" width="15.7109375" style="1" customWidth="1"/>
    <col min="5193" max="5194" width="1" style="1" customWidth="1"/>
    <col min="5195" max="5195" width="0.7109375" style="1" customWidth="1"/>
    <col min="5196" max="5196" width="3.28515625" style="1" customWidth="1"/>
    <col min="5197" max="5197" width="10" style="1"/>
    <col min="5198" max="5198" width="10.42578125" style="1" bestFit="1" customWidth="1"/>
    <col min="5199" max="5306" width="10" style="1"/>
    <col min="5307" max="5307" width="1.85546875" style="1" customWidth="1"/>
    <col min="5308" max="5308" width="1" style="1" customWidth="1"/>
    <col min="5309" max="5309" width="0.85546875" style="1" customWidth="1"/>
    <col min="5310" max="5310" width="58.28515625" style="1" customWidth="1"/>
    <col min="5311" max="5312" width="1" style="1" customWidth="1"/>
    <col min="5313" max="5313" width="16.85546875" style="1" customWidth="1"/>
    <col min="5314" max="5315" width="1" style="1" customWidth="1"/>
    <col min="5316" max="5360" width="0" style="1" hidden="1" customWidth="1"/>
    <col min="5361" max="5362" width="1" style="1" customWidth="1"/>
    <col min="5363" max="5363" width="17.85546875" style="1" customWidth="1"/>
    <col min="5364" max="5365" width="1" style="1" customWidth="1"/>
    <col min="5366" max="5375" width="0" style="1" hidden="1" customWidth="1"/>
    <col min="5376" max="5377" width="1" style="1" customWidth="1"/>
    <col min="5378" max="5378" width="16.140625" style="1" customWidth="1"/>
    <col min="5379" max="5382" width="1" style="1" customWidth="1"/>
    <col min="5383" max="5383" width="15.140625" style="1" customWidth="1"/>
    <col min="5384" max="5385" width="1" style="1" customWidth="1"/>
    <col min="5386" max="5430" width="0" style="1" hidden="1" customWidth="1"/>
    <col min="5431" max="5432" width="1" style="1" customWidth="1"/>
    <col min="5433" max="5433" width="17.85546875" style="1" customWidth="1"/>
    <col min="5434" max="5435" width="1" style="1" customWidth="1"/>
    <col min="5436" max="5445" width="0" style="1" hidden="1" customWidth="1"/>
    <col min="5446" max="5447" width="1" style="1" customWidth="1"/>
    <col min="5448" max="5448" width="15.7109375" style="1" customWidth="1"/>
    <col min="5449" max="5450" width="1" style="1" customWidth="1"/>
    <col min="5451" max="5451" width="0.7109375" style="1" customWidth="1"/>
    <col min="5452" max="5452" width="3.28515625" style="1" customWidth="1"/>
    <col min="5453" max="5453" width="10" style="1"/>
    <col min="5454" max="5454" width="10.42578125" style="1" bestFit="1" customWidth="1"/>
    <col min="5455" max="5562" width="10" style="1"/>
    <col min="5563" max="5563" width="1.85546875" style="1" customWidth="1"/>
    <col min="5564" max="5564" width="1" style="1" customWidth="1"/>
    <col min="5565" max="5565" width="0.85546875" style="1" customWidth="1"/>
    <col min="5566" max="5566" width="58.28515625" style="1" customWidth="1"/>
    <col min="5567" max="5568" width="1" style="1" customWidth="1"/>
    <col min="5569" max="5569" width="16.85546875" style="1" customWidth="1"/>
    <col min="5570" max="5571" width="1" style="1" customWidth="1"/>
    <col min="5572" max="5616" width="0" style="1" hidden="1" customWidth="1"/>
    <col min="5617" max="5618" width="1" style="1" customWidth="1"/>
    <col min="5619" max="5619" width="17.85546875" style="1" customWidth="1"/>
    <col min="5620" max="5621" width="1" style="1" customWidth="1"/>
    <col min="5622" max="5631" width="0" style="1" hidden="1" customWidth="1"/>
    <col min="5632" max="5633" width="1" style="1" customWidth="1"/>
    <col min="5634" max="5634" width="16.140625" style="1" customWidth="1"/>
    <col min="5635" max="5638" width="1" style="1" customWidth="1"/>
    <col min="5639" max="5639" width="15.140625" style="1" customWidth="1"/>
    <col min="5640" max="5641" width="1" style="1" customWidth="1"/>
    <col min="5642" max="5686" width="0" style="1" hidden="1" customWidth="1"/>
    <col min="5687" max="5688" width="1" style="1" customWidth="1"/>
    <col min="5689" max="5689" width="17.85546875" style="1" customWidth="1"/>
    <col min="5690" max="5691" width="1" style="1" customWidth="1"/>
    <col min="5692" max="5701" width="0" style="1" hidden="1" customWidth="1"/>
    <col min="5702" max="5703" width="1" style="1" customWidth="1"/>
    <col min="5704" max="5704" width="15.7109375" style="1" customWidth="1"/>
    <col min="5705" max="5706" width="1" style="1" customWidth="1"/>
    <col min="5707" max="5707" width="0.7109375" style="1" customWidth="1"/>
    <col min="5708" max="5708" width="3.28515625" style="1" customWidth="1"/>
    <col min="5709" max="5709" width="10" style="1"/>
    <col min="5710" max="5710" width="10.42578125" style="1" bestFit="1" customWidth="1"/>
    <col min="5711" max="5818" width="10" style="1"/>
    <col min="5819" max="5819" width="1.85546875" style="1" customWidth="1"/>
    <col min="5820" max="5820" width="1" style="1" customWidth="1"/>
    <col min="5821" max="5821" width="0.85546875" style="1" customWidth="1"/>
    <col min="5822" max="5822" width="58.28515625" style="1" customWidth="1"/>
    <col min="5823" max="5824" width="1" style="1" customWidth="1"/>
    <col min="5825" max="5825" width="16.85546875" style="1" customWidth="1"/>
    <col min="5826" max="5827" width="1" style="1" customWidth="1"/>
    <col min="5828" max="5872" width="0" style="1" hidden="1" customWidth="1"/>
    <col min="5873" max="5874" width="1" style="1" customWidth="1"/>
    <col min="5875" max="5875" width="17.85546875" style="1" customWidth="1"/>
    <col min="5876" max="5877" width="1" style="1" customWidth="1"/>
    <col min="5878" max="5887" width="0" style="1" hidden="1" customWidth="1"/>
    <col min="5888" max="5889" width="1" style="1" customWidth="1"/>
    <col min="5890" max="5890" width="16.140625" style="1" customWidth="1"/>
    <col min="5891" max="5894" width="1" style="1" customWidth="1"/>
    <col min="5895" max="5895" width="15.140625" style="1" customWidth="1"/>
    <col min="5896" max="5897" width="1" style="1" customWidth="1"/>
    <col min="5898" max="5942" width="0" style="1" hidden="1" customWidth="1"/>
    <col min="5943" max="5944" width="1" style="1" customWidth="1"/>
    <col min="5945" max="5945" width="17.85546875" style="1" customWidth="1"/>
    <col min="5946" max="5947" width="1" style="1" customWidth="1"/>
    <col min="5948" max="5957" width="0" style="1" hidden="1" customWidth="1"/>
    <col min="5958" max="5959" width="1" style="1" customWidth="1"/>
    <col min="5960" max="5960" width="15.7109375" style="1" customWidth="1"/>
    <col min="5961" max="5962" width="1" style="1" customWidth="1"/>
    <col min="5963" max="5963" width="0.7109375" style="1" customWidth="1"/>
    <col min="5964" max="5964" width="3.28515625" style="1" customWidth="1"/>
    <col min="5965" max="5965" width="10" style="1"/>
    <col min="5966" max="5966" width="10.42578125" style="1" bestFit="1" customWidth="1"/>
    <col min="5967" max="6074" width="10" style="1"/>
    <col min="6075" max="6075" width="1.85546875" style="1" customWidth="1"/>
    <col min="6076" max="6076" width="1" style="1" customWidth="1"/>
    <col min="6077" max="6077" width="0.85546875" style="1" customWidth="1"/>
    <col min="6078" max="6078" width="58.28515625" style="1" customWidth="1"/>
    <col min="6079" max="6080" width="1" style="1" customWidth="1"/>
    <col min="6081" max="6081" width="16.85546875" style="1" customWidth="1"/>
    <col min="6082" max="6083" width="1" style="1" customWidth="1"/>
    <col min="6084" max="6128" width="0" style="1" hidden="1" customWidth="1"/>
    <col min="6129" max="6130" width="1" style="1" customWidth="1"/>
    <col min="6131" max="6131" width="17.85546875" style="1" customWidth="1"/>
    <col min="6132" max="6133" width="1" style="1" customWidth="1"/>
    <col min="6134" max="6143" width="0" style="1" hidden="1" customWidth="1"/>
    <col min="6144" max="6145" width="1" style="1" customWidth="1"/>
    <col min="6146" max="6146" width="16.140625" style="1" customWidth="1"/>
    <col min="6147" max="6150" width="1" style="1" customWidth="1"/>
    <col min="6151" max="6151" width="15.140625" style="1" customWidth="1"/>
    <col min="6152" max="6153" width="1" style="1" customWidth="1"/>
    <col min="6154" max="6198" width="0" style="1" hidden="1" customWidth="1"/>
    <col min="6199" max="6200" width="1" style="1" customWidth="1"/>
    <col min="6201" max="6201" width="17.85546875" style="1" customWidth="1"/>
    <col min="6202" max="6203" width="1" style="1" customWidth="1"/>
    <col min="6204" max="6213" width="0" style="1" hidden="1" customWidth="1"/>
    <col min="6214" max="6215" width="1" style="1" customWidth="1"/>
    <col min="6216" max="6216" width="15.7109375" style="1" customWidth="1"/>
    <col min="6217" max="6218" width="1" style="1" customWidth="1"/>
    <col min="6219" max="6219" width="0.7109375" style="1" customWidth="1"/>
    <col min="6220" max="6220" width="3.28515625" style="1" customWidth="1"/>
    <col min="6221" max="6221" width="10" style="1"/>
    <col min="6222" max="6222" width="10.42578125" style="1" bestFit="1" customWidth="1"/>
    <col min="6223" max="6330" width="10" style="1"/>
    <col min="6331" max="6331" width="1.85546875" style="1" customWidth="1"/>
    <col min="6332" max="6332" width="1" style="1" customWidth="1"/>
    <col min="6333" max="6333" width="0.85546875" style="1" customWidth="1"/>
    <col min="6334" max="6334" width="58.28515625" style="1" customWidth="1"/>
    <col min="6335" max="6336" width="1" style="1" customWidth="1"/>
    <col min="6337" max="6337" width="16.85546875" style="1" customWidth="1"/>
    <col min="6338" max="6339" width="1" style="1" customWidth="1"/>
    <col min="6340" max="6384" width="0" style="1" hidden="1" customWidth="1"/>
    <col min="6385" max="6386" width="1" style="1" customWidth="1"/>
    <col min="6387" max="6387" width="17.85546875" style="1" customWidth="1"/>
    <col min="6388" max="6389" width="1" style="1" customWidth="1"/>
    <col min="6390" max="6399" width="0" style="1" hidden="1" customWidth="1"/>
    <col min="6400" max="6401" width="1" style="1" customWidth="1"/>
    <col min="6402" max="6402" width="16.140625" style="1" customWidth="1"/>
    <col min="6403" max="6406" width="1" style="1" customWidth="1"/>
    <col min="6407" max="6407" width="15.140625" style="1" customWidth="1"/>
    <col min="6408" max="6409" width="1" style="1" customWidth="1"/>
    <col min="6410" max="6454" width="0" style="1" hidden="1" customWidth="1"/>
    <col min="6455" max="6456" width="1" style="1" customWidth="1"/>
    <col min="6457" max="6457" width="17.85546875" style="1" customWidth="1"/>
    <col min="6458" max="6459" width="1" style="1" customWidth="1"/>
    <col min="6460" max="6469" width="0" style="1" hidden="1" customWidth="1"/>
    <col min="6470" max="6471" width="1" style="1" customWidth="1"/>
    <col min="6472" max="6472" width="15.7109375" style="1" customWidth="1"/>
    <col min="6473" max="6474" width="1" style="1" customWidth="1"/>
    <col min="6475" max="6475" width="0.7109375" style="1" customWidth="1"/>
    <col min="6476" max="6476" width="3.28515625" style="1" customWidth="1"/>
    <col min="6477" max="6477" width="10" style="1"/>
    <col min="6478" max="6478" width="10.42578125" style="1" bestFit="1" customWidth="1"/>
    <col min="6479" max="6586" width="10" style="1"/>
    <col min="6587" max="6587" width="1.85546875" style="1" customWidth="1"/>
    <col min="6588" max="6588" width="1" style="1" customWidth="1"/>
    <col min="6589" max="6589" width="0.85546875" style="1" customWidth="1"/>
    <col min="6590" max="6590" width="58.28515625" style="1" customWidth="1"/>
    <col min="6591" max="6592" width="1" style="1" customWidth="1"/>
    <col min="6593" max="6593" width="16.85546875" style="1" customWidth="1"/>
    <col min="6594" max="6595" width="1" style="1" customWidth="1"/>
    <col min="6596" max="6640" width="0" style="1" hidden="1" customWidth="1"/>
    <col min="6641" max="6642" width="1" style="1" customWidth="1"/>
    <col min="6643" max="6643" width="17.85546875" style="1" customWidth="1"/>
    <col min="6644" max="6645" width="1" style="1" customWidth="1"/>
    <col min="6646" max="6655" width="0" style="1" hidden="1" customWidth="1"/>
    <col min="6656" max="6657" width="1" style="1" customWidth="1"/>
    <col min="6658" max="6658" width="16.140625" style="1" customWidth="1"/>
    <col min="6659" max="6662" width="1" style="1" customWidth="1"/>
    <col min="6663" max="6663" width="15.140625" style="1" customWidth="1"/>
    <col min="6664" max="6665" width="1" style="1" customWidth="1"/>
    <col min="6666" max="6710" width="0" style="1" hidden="1" customWidth="1"/>
    <col min="6711" max="6712" width="1" style="1" customWidth="1"/>
    <col min="6713" max="6713" width="17.85546875" style="1" customWidth="1"/>
    <col min="6714" max="6715" width="1" style="1" customWidth="1"/>
    <col min="6716" max="6725" width="0" style="1" hidden="1" customWidth="1"/>
    <col min="6726" max="6727" width="1" style="1" customWidth="1"/>
    <col min="6728" max="6728" width="15.7109375" style="1" customWidth="1"/>
    <col min="6729" max="6730" width="1" style="1" customWidth="1"/>
    <col min="6731" max="6731" width="0.7109375" style="1" customWidth="1"/>
    <col min="6732" max="6732" width="3.28515625" style="1" customWidth="1"/>
    <col min="6733" max="6733" width="10" style="1"/>
    <col min="6734" max="6734" width="10.42578125" style="1" bestFit="1" customWidth="1"/>
    <col min="6735" max="6842" width="10" style="1"/>
    <col min="6843" max="6843" width="1.85546875" style="1" customWidth="1"/>
    <col min="6844" max="6844" width="1" style="1" customWidth="1"/>
    <col min="6845" max="6845" width="0.85546875" style="1" customWidth="1"/>
    <col min="6846" max="6846" width="58.28515625" style="1" customWidth="1"/>
    <col min="6847" max="6848" width="1" style="1" customWidth="1"/>
    <col min="6849" max="6849" width="16.85546875" style="1" customWidth="1"/>
    <col min="6850" max="6851" width="1" style="1" customWidth="1"/>
    <col min="6852" max="6896" width="0" style="1" hidden="1" customWidth="1"/>
    <col min="6897" max="6898" width="1" style="1" customWidth="1"/>
    <col min="6899" max="6899" width="17.85546875" style="1" customWidth="1"/>
    <col min="6900" max="6901" width="1" style="1" customWidth="1"/>
    <col min="6902" max="6911" width="0" style="1" hidden="1" customWidth="1"/>
    <col min="6912" max="6913" width="1" style="1" customWidth="1"/>
    <col min="6914" max="6914" width="16.140625" style="1" customWidth="1"/>
    <col min="6915" max="6918" width="1" style="1" customWidth="1"/>
    <col min="6919" max="6919" width="15.140625" style="1" customWidth="1"/>
    <col min="6920" max="6921" width="1" style="1" customWidth="1"/>
    <col min="6922" max="6966" width="0" style="1" hidden="1" customWidth="1"/>
    <col min="6967" max="6968" width="1" style="1" customWidth="1"/>
    <col min="6969" max="6969" width="17.85546875" style="1" customWidth="1"/>
    <col min="6970" max="6971" width="1" style="1" customWidth="1"/>
    <col min="6972" max="6981" width="0" style="1" hidden="1" customWidth="1"/>
    <col min="6982" max="6983" width="1" style="1" customWidth="1"/>
    <col min="6984" max="6984" width="15.7109375" style="1" customWidth="1"/>
    <col min="6985" max="6986" width="1" style="1" customWidth="1"/>
    <col min="6987" max="6987" width="0.7109375" style="1" customWidth="1"/>
    <col min="6988" max="6988" width="3.28515625" style="1" customWidth="1"/>
    <col min="6989" max="6989" width="10" style="1"/>
    <col min="6990" max="6990" width="10.42578125" style="1" bestFit="1" customWidth="1"/>
    <col min="6991" max="7098" width="10" style="1"/>
    <col min="7099" max="7099" width="1.85546875" style="1" customWidth="1"/>
    <col min="7100" max="7100" width="1" style="1" customWidth="1"/>
    <col min="7101" max="7101" width="0.85546875" style="1" customWidth="1"/>
    <col min="7102" max="7102" width="58.28515625" style="1" customWidth="1"/>
    <col min="7103" max="7104" width="1" style="1" customWidth="1"/>
    <col min="7105" max="7105" width="16.85546875" style="1" customWidth="1"/>
    <col min="7106" max="7107" width="1" style="1" customWidth="1"/>
    <col min="7108" max="7152" width="0" style="1" hidden="1" customWidth="1"/>
    <col min="7153" max="7154" width="1" style="1" customWidth="1"/>
    <col min="7155" max="7155" width="17.85546875" style="1" customWidth="1"/>
    <col min="7156" max="7157" width="1" style="1" customWidth="1"/>
    <col min="7158" max="7167" width="0" style="1" hidden="1" customWidth="1"/>
    <col min="7168" max="7169" width="1" style="1" customWidth="1"/>
    <col min="7170" max="7170" width="16.140625" style="1" customWidth="1"/>
    <col min="7171" max="7174" width="1" style="1" customWidth="1"/>
    <col min="7175" max="7175" width="15.140625" style="1" customWidth="1"/>
    <col min="7176" max="7177" width="1" style="1" customWidth="1"/>
    <col min="7178" max="7222" width="0" style="1" hidden="1" customWidth="1"/>
    <col min="7223" max="7224" width="1" style="1" customWidth="1"/>
    <col min="7225" max="7225" width="17.85546875" style="1" customWidth="1"/>
    <col min="7226" max="7227" width="1" style="1" customWidth="1"/>
    <col min="7228" max="7237" width="0" style="1" hidden="1" customWidth="1"/>
    <col min="7238" max="7239" width="1" style="1" customWidth="1"/>
    <col min="7240" max="7240" width="15.7109375" style="1" customWidth="1"/>
    <col min="7241" max="7242" width="1" style="1" customWidth="1"/>
    <col min="7243" max="7243" width="0.7109375" style="1" customWidth="1"/>
    <col min="7244" max="7244" width="3.28515625" style="1" customWidth="1"/>
    <col min="7245" max="7245" width="10" style="1"/>
    <col min="7246" max="7246" width="10.42578125" style="1" bestFit="1" customWidth="1"/>
    <col min="7247" max="7354" width="10" style="1"/>
    <col min="7355" max="7355" width="1.85546875" style="1" customWidth="1"/>
    <col min="7356" max="7356" width="1" style="1" customWidth="1"/>
    <col min="7357" max="7357" width="0.85546875" style="1" customWidth="1"/>
    <col min="7358" max="7358" width="58.28515625" style="1" customWidth="1"/>
    <col min="7359" max="7360" width="1" style="1" customWidth="1"/>
    <col min="7361" max="7361" width="16.85546875" style="1" customWidth="1"/>
    <col min="7362" max="7363" width="1" style="1" customWidth="1"/>
    <col min="7364" max="7408" width="0" style="1" hidden="1" customWidth="1"/>
    <col min="7409" max="7410" width="1" style="1" customWidth="1"/>
    <col min="7411" max="7411" width="17.85546875" style="1" customWidth="1"/>
    <col min="7412" max="7413" width="1" style="1" customWidth="1"/>
    <col min="7414" max="7423" width="0" style="1" hidden="1" customWidth="1"/>
    <col min="7424" max="7425" width="1" style="1" customWidth="1"/>
    <col min="7426" max="7426" width="16.140625" style="1" customWidth="1"/>
    <col min="7427" max="7430" width="1" style="1" customWidth="1"/>
    <col min="7431" max="7431" width="15.140625" style="1" customWidth="1"/>
    <col min="7432" max="7433" width="1" style="1" customWidth="1"/>
    <col min="7434" max="7478" width="0" style="1" hidden="1" customWidth="1"/>
    <col min="7479" max="7480" width="1" style="1" customWidth="1"/>
    <col min="7481" max="7481" width="17.85546875" style="1" customWidth="1"/>
    <col min="7482" max="7483" width="1" style="1" customWidth="1"/>
    <col min="7484" max="7493" width="0" style="1" hidden="1" customWidth="1"/>
    <col min="7494" max="7495" width="1" style="1" customWidth="1"/>
    <col min="7496" max="7496" width="15.7109375" style="1" customWidth="1"/>
    <col min="7497" max="7498" width="1" style="1" customWidth="1"/>
    <col min="7499" max="7499" width="0.7109375" style="1" customWidth="1"/>
    <col min="7500" max="7500" width="3.28515625" style="1" customWidth="1"/>
    <col min="7501" max="7501" width="10" style="1"/>
    <col min="7502" max="7502" width="10.42578125" style="1" bestFit="1" customWidth="1"/>
    <col min="7503" max="7610" width="10" style="1"/>
    <col min="7611" max="7611" width="1.85546875" style="1" customWidth="1"/>
    <col min="7612" max="7612" width="1" style="1" customWidth="1"/>
    <col min="7613" max="7613" width="0.85546875" style="1" customWidth="1"/>
    <col min="7614" max="7614" width="58.28515625" style="1" customWidth="1"/>
    <col min="7615" max="7616" width="1" style="1" customWidth="1"/>
    <col min="7617" max="7617" width="16.85546875" style="1" customWidth="1"/>
    <col min="7618" max="7619" width="1" style="1" customWidth="1"/>
    <col min="7620" max="7664" width="0" style="1" hidden="1" customWidth="1"/>
    <col min="7665" max="7666" width="1" style="1" customWidth="1"/>
    <col min="7667" max="7667" width="17.85546875" style="1" customWidth="1"/>
    <col min="7668" max="7669" width="1" style="1" customWidth="1"/>
    <col min="7670" max="7679" width="0" style="1" hidden="1" customWidth="1"/>
    <col min="7680" max="7681" width="1" style="1" customWidth="1"/>
    <col min="7682" max="7682" width="16.140625" style="1" customWidth="1"/>
    <col min="7683" max="7686" width="1" style="1" customWidth="1"/>
    <col min="7687" max="7687" width="15.140625" style="1" customWidth="1"/>
    <col min="7688" max="7689" width="1" style="1" customWidth="1"/>
    <col min="7690" max="7734" width="0" style="1" hidden="1" customWidth="1"/>
    <col min="7735" max="7736" width="1" style="1" customWidth="1"/>
    <col min="7737" max="7737" width="17.85546875" style="1" customWidth="1"/>
    <col min="7738" max="7739" width="1" style="1" customWidth="1"/>
    <col min="7740" max="7749" width="0" style="1" hidden="1" customWidth="1"/>
    <col min="7750" max="7751" width="1" style="1" customWidth="1"/>
    <col min="7752" max="7752" width="15.7109375" style="1" customWidth="1"/>
    <col min="7753" max="7754" width="1" style="1" customWidth="1"/>
    <col min="7755" max="7755" width="0.7109375" style="1" customWidth="1"/>
    <col min="7756" max="7756" width="3.28515625" style="1" customWidth="1"/>
    <col min="7757" max="7757" width="10" style="1"/>
    <col min="7758" max="7758" width="10.42578125" style="1" bestFit="1" customWidth="1"/>
    <col min="7759" max="7866" width="10" style="1"/>
    <col min="7867" max="7867" width="1.85546875" style="1" customWidth="1"/>
    <col min="7868" max="7868" width="1" style="1" customWidth="1"/>
    <col min="7869" max="7869" width="0.85546875" style="1" customWidth="1"/>
    <col min="7870" max="7870" width="58.28515625" style="1" customWidth="1"/>
    <col min="7871" max="7872" width="1" style="1" customWidth="1"/>
    <col min="7873" max="7873" width="16.85546875" style="1" customWidth="1"/>
    <col min="7874" max="7875" width="1" style="1" customWidth="1"/>
    <col min="7876" max="7920" width="0" style="1" hidden="1" customWidth="1"/>
    <col min="7921" max="7922" width="1" style="1" customWidth="1"/>
    <col min="7923" max="7923" width="17.85546875" style="1" customWidth="1"/>
    <col min="7924" max="7925" width="1" style="1" customWidth="1"/>
    <col min="7926" max="7935" width="0" style="1" hidden="1" customWidth="1"/>
    <col min="7936" max="7937" width="1" style="1" customWidth="1"/>
    <col min="7938" max="7938" width="16.140625" style="1" customWidth="1"/>
    <col min="7939" max="7942" width="1" style="1" customWidth="1"/>
    <col min="7943" max="7943" width="15.140625" style="1" customWidth="1"/>
    <col min="7944" max="7945" width="1" style="1" customWidth="1"/>
    <col min="7946" max="7990" width="0" style="1" hidden="1" customWidth="1"/>
    <col min="7991" max="7992" width="1" style="1" customWidth="1"/>
    <col min="7993" max="7993" width="17.85546875" style="1" customWidth="1"/>
    <col min="7994" max="7995" width="1" style="1" customWidth="1"/>
    <col min="7996" max="8005" width="0" style="1" hidden="1" customWidth="1"/>
    <col min="8006" max="8007" width="1" style="1" customWidth="1"/>
    <col min="8008" max="8008" width="15.7109375" style="1" customWidth="1"/>
    <col min="8009" max="8010" width="1" style="1" customWidth="1"/>
    <col min="8011" max="8011" width="0.7109375" style="1" customWidth="1"/>
    <col min="8012" max="8012" width="3.28515625" style="1" customWidth="1"/>
    <col min="8013" max="8013" width="10" style="1"/>
    <col min="8014" max="8014" width="10.42578125" style="1" bestFit="1" customWidth="1"/>
    <col min="8015" max="8122" width="10" style="1"/>
    <col min="8123" max="8123" width="1.85546875" style="1" customWidth="1"/>
    <col min="8124" max="8124" width="1" style="1" customWidth="1"/>
    <col min="8125" max="8125" width="0.85546875" style="1" customWidth="1"/>
    <col min="8126" max="8126" width="58.28515625" style="1" customWidth="1"/>
    <col min="8127" max="8128" width="1" style="1" customWidth="1"/>
    <col min="8129" max="8129" width="16.85546875" style="1" customWidth="1"/>
    <col min="8130" max="8131" width="1" style="1" customWidth="1"/>
    <col min="8132" max="8176" width="0" style="1" hidden="1" customWidth="1"/>
    <col min="8177" max="8178" width="1" style="1" customWidth="1"/>
    <col min="8179" max="8179" width="17.85546875" style="1" customWidth="1"/>
    <col min="8180" max="8181" width="1" style="1" customWidth="1"/>
    <col min="8182" max="8191" width="0" style="1" hidden="1" customWidth="1"/>
    <col min="8192" max="8193" width="1" style="1" customWidth="1"/>
    <col min="8194" max="8194" width="16.140625" style="1" customWidth="1"/>
    <col min="8195" max="8198" width="1" style="1" customWidth="1"/>
    <col min="8199" max="8199" width="15.140625" style="1" customWidth="1"/>
    <col min="8200" max="8201" width="1" style="1" customWidth="1"/>
    <col min="8202" max="8246" width="0" style="1" hidden="1" customWidth="1"/>
    <col min="8247" max="8248" width="1" style="1" customWidth="1"/>
    <col min="8249" max="8249" width="17.85546875" style="1" customWidth="1"/>
    <col min="8250" max="8251" width="1" style="1" customWidth="1"/>
    <col min="8252" max="8261" width="0" style="1" hidden="1" customWidth="1"/>
    <col min="8262" max="8263" width="1" style="1" customWidth="1"/>
    <col min="8264" max="8264" width="15.7109375" style="1" customWidth="1"/>
    <col min="8265" max="8266" width="1" style="1" customWidth="1"/>
    <col min="8267" max="8267" width="0.7109375" style="1" customWidth="1"/>
    <col min="8268" max="8268" width="3.28515625" style="1" customWidth="1"/>
    <col min="8269" max="8269" width="10" style="1"/>
    <col min="8270" max="8270" width="10.42578125" style="1" bestFit="1" customWidth="1"/>
    <col min="8271" max="8378" width="10" style="1"/>
    <col min="8379" max="8379" width="1.85546875" style="1" customWidth="1"/>
    <col min="8380" max="8380" width="1" style="1" customWidth="1"/>
    <col min="8381" max="8381" width="0.85546875" style="1" customWidth="1"/>
    <col min="8382" max="8382" width="58.28515625" style="1" customWidth="1"/>
    <col min="8383" max="8384" width="1" style="1" customWidth="1"/>
    <col min="8385" max="8385" width="16.85546875" style="1" customWidth="1"/>
    <col min="8386" max="8387" width="1" style="1" customWidth="1"/>
    <col min="8388" max="8432" width="0" style="1" hidden="1" customWidth="1"/>
    <col min="8433" max="8434" width="1" style="1" customWidth="1"/>
    <col min="8435" max="8435" width="17.85546875" style="1" customWidth="1"/>
    <col min="8436" max="8437" width="1" style="1" customWidth="1"/>
    <col min="8438" max="8447" width="0" style="1" hidden="1" customWidth="1"/>
    <col min="8448" max="8449" width="1" style="1" customWidth="1"/>
    <col min="8450" max="8450" width="16.140625" style="1" customWidth="1"/>
    <col min="8451" max="8454" width="1" style="1" customWidth="1"/>
    <col min="8455" max="8455" width="15.140625" style="1" customWidth="1"/>
    <col min="8456" max="8457" width="1" style="1" customWidth="1"/>
    <col min="8458" max="8502" width="0" style="1" hidden="1" customWidth="1"/>
    <col min="8503" max="8504" width="1" style="1" customWidth="1"/>
    <col min="8505" max="8505" width="17.85546875" style="1" customWidth="1"/>
    <col min="8506" max="8507" width="1" style="1" customWidth="1"/>
    <col min="8508" max="8517" width="0" style="1" hidden="1" customWidth="1"/>
    <col min="8518" max="8519" width="1" style="1" customWidth="1"/>
    <col min="8520" max="8520" width="15.7109375" style="1" customWidth="1"/>
    <col min="8521" max="8522" width="1" style="1" customWidth="1"/>
    <col min="8523" max="8523" width="0.7109375" style="1" customWidth="1"/>
    <col min="8524" max="8524" width="3.28515625" style="1" customWidth="1"/>
    <col min="8525" max="8525" width="10" style="1"/>
    <col min="8526" max="8526" width="10.42578125" style="1" bestFit="1" customWidth="1"/>
    <col min="8527" max="8634" width="10" style="1"/>
    <col min="8635" max="8635" width="1.85546875" style="1" customWidth="1"/>
    <col min="8636" max="8636" width="1" style="1" customWidth="1"/>
    <col min="8637" max="8637" width="0.85546875" style="1" customWidth="1"/>
    <col min="8638" max="8638" width="58.28515625" style="1" customWidth="1"/>
    <col min="8639" max="8640" width="1" style="1" customWidth="1"/>
    <col min="8641" max="8641" width="16.85546875" style="1" customWidth="1"/>
    <col min="8642" max="8643" width="1" style="1" customWidth="1"/>
    <col min="8644" max="8688" width="0" style="1" hidden="1" customWidth="1"/>
    <col min="8689" max="8690" width="1" style="1" customWidth="1"/>
    <col min="8691" max="8691" width="17.85546875" style="1" customWidth="1"/>
    <col min="8692" max="8693" width="1" style="1" customWidth="1"/>
    <col min="8694" max="8703" width="0" style="1" hidden="1" customWidth="1"/>
    <col min="8704" max="8705" width="1" style="1" customWidth="1"/>
    <col min="8706" max="8706" width="16.140625" style="1" customWidth="1"/>
    <col min="8707" max="8710" width="1" style="1" customWidth="1"/>
    <col min="8711" max="8711" width="15.140625" style="1" customWidth="1"/>
    <col min="8712" max="8713" width="1" style="1" customWidth="1"/>
    <col min="8714" max="8758" width="0" style="1" hidden="1" customWidth="1"/>
    <col min="8759" max="8760" width="1" style="1" customWidth="1"/>
    <col min="8761" max="8761" width="17.85546875" style="1" customWidth="1"/>
    <col min="8762" max="8763" width="1" style="1" customWidth="1"/>
    <col min="8764" max="8773" width="0" style="1" hidden="1" customWidth="1"/>
    <col min="8774" max="8775" width="1" style="1" customWidth="1"/>
    <col min="8776" max="8776" width="15.7109375" style="1" customWidth="1"/>
    <col min="8777" max="8778" width="1" style="1" customWidth="1"/>
    <col min="8779" max="8779" width="0.7109375" style="1" customWidth="1"/>
    <col min="8780" max="8780" width="3.28515625" style="1" customWidth="1"/>
    <col min="8781" max="8781" width="10" style="1"/>
    <col min="8782" max="8782" width="10.42578125" style="1" bestFit="1" customWidth="1"/>
    <col min="8783" max="8890" width="10" style="1"/>
    <col min="8891" max="8891" width="1.85546875" style="1" customWidth="1"/>
    <col min="8892" max="8892" width="1" style="1" customWidth="1"/>
    <col min="8893" max="8893" width="0.85546875" style="1" customWidth="1"/>
    <col min="8894" max="8894" width="58.28515625" style="1" customWidth="1"/>
    <col min="8895" max="8896" width="1" style="1" customWidth="1"/>
    <col min="8897" max="8897" width="16.85546875" style="1" customWidth="1"/>
    <col min="8898" max="8899" width="1" style="1" customWidth="1"/>
    <col min="8900" max="8944" width="0" style="1" hidden="1" customWidth="1"/>
    <col min="8945" max="8946" width="1" style="1" customWidth="1"/>
    <col min="8947" max="8947" width="17.85546875" style="1" customWidth="1"/>
    <col min="8948" max="8949" width="1" style="1" customWidth="1"/>
    <col min="8950" max="8959" width="0" style="1" hidden="1" customWidth="1"/>
    <col min="8960" max="8961" width="1" style="1" customWidth="1"/>
    <col min="8962" max="8962" width="16.140625" style="1" customWidth="1"/>
    <col min="8963" max="8966" width="1" style="1" customWidth="1"/>
    <col min="8967" max="8967" width="15.140625" style="1" customWidth="1"/>
    <col min="8968" max="8969" width="1" style="1" customWidth="1"/>
    <col min="8970" max="9014" width="0" style="1" hidden="1" customWidth="1"/>
    <col min="9015" max="9016" width="1" style="1" customWidth="1"/>
    <col min="9017" max="9017" width="17.85546875" style="1" customWidth="1"/>
    <col min="9018" max="9019" width="1" style="1" customWidth="1"/>
    <col min="9020" max="9029" width="0" style="1" hidden="1" customWidth="1"/>
    <col min="9030" max="9031" width="1" style="1" customWidth="1"/>
    <col min="9032" max="9032" width="15.7109375" style="1" customWidth="1"/>
    <col min="9033" max="9034" width="1" style="1" customWidth="1"/>
    <col min="9035" max="9035" width="0.7109375" style="1" customWidth="1"/>
    <col min="9036" max="9036" width="3.28515625" style="1" customWidth="1"/>
    <col min="9037" max="9037" width="10" style="1"/>
    <col min="9038" max="9038" width="10.42578125" style="1" bestFit="1" customWidth="1"/>
    <col min="9039" max="9146" width="10" style="1"/>
    <col min="9147" max="9147" width="1.85546875" style="1" customWidth="1"/>
    <col min="9148" max="9148" width="1" style="1" customWidth="1"/>
    <col min="9149" max="9149" width="0.85546875" style="1" customWidth="1"/>
    <col min="9150" max="9150" width="58.28515625" style="1" customWidth="1"/>
    <col min="9151" max="9152" width="1" style="1" customWidth="1"/>
    <col min="9153" max="9153" width="16.85546875" style="1" customWidth="1"/>
    <col min="9154" max="9155" width="1" style="1" customWidth="1"/>
    <col min="9156" max="9200" width="0" style="1" hidden="1" customWidth="1"/>
    <col min="9201" max="9202" width="1" style="1" customWidth="1"/>
    <col min="9203" max="9203" width="17.85546875" style="1" customWidth="1"/>
    <col min="9204" max="9205" width="1" style="1" customWidth="1"/>
    <col min="9206" max="9215" width="0" style="1" hidden="1" customWidth="1"/>
    <col min="9216" max="9217" width="1" style="1" customWidth="1"/>
    <col min="9218" max="9218" width="16.140625" style="1" customWidth="1"/>
    <col min="9219" max="9222" width="1" style="1" customWidth="1"/>
    <col min="9223" max="9223" width="15.140625" style="1" customWidth="1"/>
    <col min="9224" max="9225" width="1" style="1" customWidth="1"/>
    <col min="9226" max="9270" width="0" style="1" hidden="1" customWidth="1"/>
    <col min="9271" max="9272" width="1" style="1" customWidth="1"/>
    <col min="9273" max="9273" width="17.85546875" style="1" customWidth="1"/>
    <col min="9274" max="9275" width="1" style="1" customWidth="1"/>
    <col min="9276" max="9285" width="0" style="1" hidden="1" customWidth="1"/>
    <col min="9286" max="9287" width="1" style="1" customWidth="1"/>
    <col min="9288" max="9288" width="15.7109375" style="1" customWidth="1"/>
    <col min="9289" max="9290" width="1" style="1" customWidth="1"/>
    <col min="9291" max="9291" width="0.7109375" style="1" customWidth="1"/>
    <col min="9292" max="9292" width="3.28515625" style="1" customWidth="1"/>
    <col min="9293" max="9293" width="10" style="1"/>
    <col min="9294" max="9294" width="10.42578125" style="1" bestFit="1" customWidth="1"/>
    <col min="9295" max="9402" width="10" style="1"/>
    <col min="9403" max="9403" width="1.85546875" style="1" customWidth="1"/>
    <col min="9404" max="9404" width="1" style="1" customWidth="1"/>
    <col min="9405" max="9405" width="0.85546875" style="1" customWidth="1"/>
    <col min="9406" max="9406" width="58.28515625" style="1" customWidth="1"/>
    <col min="9407" max="9408" width="1" style="1" customWidth="1"/>
    <col min="9409" max="9409" width="16.85546875" style="1" customWidth="1"/>
    <col min="9410" max="9411" width="1" style="1" customWidth="1"/>
    <col min="9412" max="9456" width="0" style="1" hidden="1" customWidth="1"/>
    <col min="9457" max="9458" width="1" style="1" customWidth="1"/>
    <col min="9459" max="9459" width="17.85546875" style="1" customWidth="1"/>
    <col min="9460" max="9461" width="1" style="1" customWidth="1"/>
    <col min="9462" max="9471" width="0" style="1" hidden="1" customWidth="1"/>
    <col min="9472" max="9473" width="1" style="1" customWidth="1"/>
    <col min="9474" max="9474" width="16.140625" style="1" customWidth="1"/>
    <col min="9475" max="9478" width="1" style="1" customWidth="1"/>
    <col min="9479" max="9479" width="15.140625" style="1" customWidth="1"/>
    <col min="9480" max="9481" width="1" style="1" customWidth="1"/>
    <col min="9482" max="9526" width="0" style="1" hidden="1" customWidth="1"/>
    <col min="9527" max="9528" width="1" style="1" customWidth="1"/>
    <col min="9529" max="9529" width="17.85546875" style="1" customWidth="1"/>
    <col min="9530" max="9531" width="1" style="1" customWidth="1"/>
    <col min="9532" max="9541" width="0" style="1" hidden="1" customWidth="1"/>
    <col min="9542" max="9543" width="1" style="1" customWidth="1"/>
    <col min="9544" max="9544" width="15.7109375" style="1" customWidth="1"/>
    <col min="9545" max="9546" width="1" style="1" customWidth="1"/>
    <col min="9547" max="9547" width="0.7109375" style="1" customWidth="1"/>
    <col min="9548" max="9548" width="3.28515625" style="1" customWidth="1"/>
    <col min="9549" max="9549" width="10" style="1"/>
    <col min="9550" max="9550" width="10.42578125" style="1" bestFit="1" customWidth="1"/>
    <col min="9551" max="9658" width="10" style="1"/>
    <col min="9659" max="9659" width="1.85546875" style="1" customWidth="1"/>
    <col min="9660" max="9660" width="1" style="1" customWidth="1"/>
    <col min="9661" max="9661" width="0.85546875" style="1" customWidth="1"/>
    <col min="9662" max="9662" width="58.28515625" style="1" customWidth="1"/>
    <col min="9663" max="9664" width="1" style="1" customWidth="1"/>
    <col min="9665" max="9665" width="16.85546875" style="1" customWidth="1"/>
    <col min="9666" max="9667" width="1" style="1" customWidth="1"/>
    <col min="9668" max="9712" width="0" style="1" hidden="1" customWidth="1"/>
    <col min="9713" max="9714" width="1" style="1" customWidth="1"/>
    <col min="9715" max="9715" width="17.85546875" style="1" customWidth="1"/>
    <col min="9716" max="9717" width="1" style="1" customWidth="1"/>
    <col min="9718" max="9727" width="0" style="1" hidden="1" customWidth="1"/>
    <col min="9728" max="9729" width="1" style="1" customWidth="1"/>
    <col min="9730" max="9730" width="16.140625" style="1" customWidth="1"/>
    <col min="9731" max="9734" width="1" style="1" customWidth="1"/>
    <col min="9735" max="9735" width="15.140625" style="1" customWidth="1"/>
    <col min="9736" max="9737" width="1" style="1" customWidth="1"/>
    <col min="9738" max="9782" width="0" style="1" hidden="1" customWidth="1"/>
    <col min="9783" max="9784" width="1" style="1" customWidth="1"/>
    <col min="9785" max="9785" width="17.85546875" style="1" customWidth="1"/>
    <col min="9786" max="9787" width="1" style="1" customWidth="1"/>
    <col min="9788" max="9797" width="0" style="1" hidden="1" customWidth="1"/>
    <col min="9798" max="9799" width="1" style="1" customWidth="1"/>
    <col min="9800" max="9800" width="15.7109375" style="1" customWidth="1"/>
    <col min="9801" max="9802" width="1" style="1" customWidth="1"/>
    <col min="9803" max="9803" width="0.7109375" style="1" customWidth="1"/>
    <col min="9804" max="9804" width="3.28515625" style="1" customWidth="1"/>
    <col min="9805" max="9805" width="10" style="1"/>
    <col min="9806" max="9806" width="10.42578125" style="1" bestFit="1" customWidth="1"/>
    <col min="9807" max="9914" width="10" style="1"/>
    <col min="9915" max="9915" width="1.85546875" style="1" customWidth="1"/>
    <col min="9916" max="9916" width="1" style="1" customWidth="1"/>
    <col min="9917" max="9917" width="0.85546875" style="1" customWidth="1"/>
    <col min="9918" max="9918" width="58.28515625" style="1" customWidth="1"/>
    <col min="9919" max="9920" width="1" style="1" customWidth="1"/>
    <col min="9921" max="9921" width="16.85546875" style="1" customWidth="1"/>
    <col min="9922" max="9923" width="1" style="1" customWidth="1"/>
    <col min="9924" max="9968" width="0" style="1" hidden="1" customWidth="1"/>
    <col min="9969" max="9970" width="1" style="1" customWidth="1"/>
    <col min="9971" max="9971" width="17.85546875" style="1" customWidth="1"/>
    <col min="9972" max="9973" width="1" style="1" customWidth="1"/>
    <col min="9974" max="9983" width="0" style="1" hidden="1" customWidth="1"/>
    <col min="9984" max="9985" width="1" style="1" customWidth="1"/>
    <col min="9986" max="9986" width="16.140625" style="1" customWidth="1"/>
    <col min="9987" max="9990" width="1" style="1" customWidth="1"/>
    <col min="9991" max="9991" width="15.140625" style="1" customWidth="1"/>
    <col min="9992" max="9993" width="1" style="1" customWidth="1"/>
    <col min="9994" max="10038" width="0" style="1" hidden="1" customWidth="1"/>
    <col min="10039" max="10040" width="1" style="1" customWidth="1"/>
    <col min="10041" max="10041" width="17.85546875" style="1" customWidth="1"/>
    <col min="10042" max="10043" width="1" style="1" customWidth="1"/>
    <col min="10044" max="10053" width="0" style="1" hidden="1" customWidth="1"/>
    <col min="10054" max="10055" width="1" style="1" customWidth="1"/>
    <col min="10056" max="10056" width="15.7109375" style="1" customWidth="1"/>
    <col min="10057" max="10058" width="1" style="1" customWidth="1"/>
    <col min="10059" max="10059" width="0.7109375" style="1" customWidth="1"/>
    <col min="10060" max="10060" width="3.28515625" style="1" customWidth="1"/>
    <col min="10061" max="10061" width="10" style="1"/>
    <col min="10062" max="10062" width="10.42578125" style="1" bestFit="1" customWidth="1"/>
    <col min="10063" max="10170" width="10" style="1"/>
    <col min="10171" max="10171" width="1.85546875" style="1" customWidth="1"/>
    <col min="10172" max="10172" width="1" style="1" customWidth="1"/>
    <col min="10173" max="10173" width="0.85546875" style="1" customWidth="1"/>
    <col min="10174" max="10174" width="58.28515625" style="1" customWidth="1"/>
    <col min="10175" max="10176" width="1" style="1" customWidth="1"/>
    <col min="10177" max="10177" width="16.85546875" style="1" customWidth="1"/>
    <col min="10178" max="10179" width="1" style="1" customWidth="1"/>
    <col min="10180" max="10224" width="0" style="1" hidden="1" customWidth="1"/>
    <col min="10225" max="10226" width="1" style="1" customWidth="1"/>
    <col min="10227" max="10227" width="17.85546875" style="1" customWidth="1"/>
    <col min="10228" max="10229" width="1" style="1" customWidth="1"/>
    <col min="10230" max="10239" width="0" style="1" hidden="1" customWidth="1"/>
    <col min="10240" max="10241" width="1" style="1" customWidth="1"/>
    <col min="10242" max="10242" width="16.140625" style="1" customWidth="1"/>
    <col min="10243" max="10246" width="1" style="1" customWidth="1"/>
    <col min="10247" max="10247" width="15.140625" style="1" customWidth="1"/>
    <col min="10248" max="10249" width="1" style="1" customWidth="1"/>
    <col min="10250" max="10294" width="0" style="1" hidden="1" customWidth="1"/>
    <col min="10295" max="10296" width="1" style="1" customWidth="1"/>
    <col min="10297" max="10297" width="17.85546875" style="1" customWidth="1"/>
    <col min="10298" max="10299" width="1" style="1" customWidth="1"/>
    <col min="10300" max="10309" width="0" style="1" hidden="1" customWidth="1"/>
    <col min="10310" max="10311" width="1" style="1" customWidth="1"/>
    <col min="10312" max="10312" width="15.7109375" style="1" customWidth="1"/>
    <col min="10313" max="10314" width="1" style="1" customWidth="1"/>
    <col min="10315" max="10315" width="0.7109375" style="1" customWidth="1"/>
    <col min="10316" max="10316" width="3.28515625" style="1" customWidth="1"/>
    <col min="10317" max="10317" width="10" style="1"/>
    <col min="10318" max="10318" width="10.42578125" style="1" bestFit="1" customWidth="1"/>
    <col min="10319" max="10426" width="10" style="1"/>
    <col min="10427" max="10427" width="1.85546875" style="1" customWidth="1"/>
    <col min="10428" max="10428" width="1" style="1" customWidth="1"/>
    <col min="10429" max="10429" width="0.85546875" style="1" customWidth="1"/>
    <col min="10430" max="10430" width="58.28515625" style="1" customWidth="1"/>
    <col min="10431" max="10432" width="1" style="1" customWidth="1"/>
    <col min="10433" max="10433" width="16.85546875" style="1" customWidth="1"/>
    <col min="10434" max="10435" width="1" style="1" customWidth="1"/>
    <col min="10436" max="10480" width="0" style="1" hidden="1" customWidth="1"/>
    <col min="10481" max="10482" width="1" style="1" customWidth="1"/>
    <col min="10483" max="10483" width="17.85546875" style="1" customWidth="1"/>
    <col min="10484" max="10485" width="1" style="1" customWidth="1"/>
    <col min="10486" max="10495" width="0" style="1" hidden="1" customWidth="1"/>
    <col min="10496" max="10497" width="1" style="1" customWidth="1"/>
    <col min="10498" max="10498" width="16.140625" style="1" customWidth="1"/>
    <col min="10499" max="10502" width="1" style="1" customWidth="1"/>
    <col min="10503" max="10503" width="15.140625" style="1" customWidth="1"/>
    <col min="10504" max="10505" width="1" style="1" customWidth="1"/>
    <col min="10506" max="10550" width="0" style="1" hidden="1" customWidth="1"/>
    <col min="10551" max="10552" width="1" style="1" customWidth="1"/>
    <col min="10553" max="10553" width="17.85546875" style="1" customWidth="1"/>
    <col min="10554" max="10555" width="1" style="1" customWidth="1"/>
    <col min="10556" max="10565" width="0" style="1" hidden="1" customWidth="1"/>
    <col min="10566" max="10567" width="1" style="1" customWidth="1"/>
    <col min="10568" max="10568" width="15.7109375" style="1" customWidth="1"/>
    <col min="10569" max="10570" width="1" style="1" customWidth="1"/>
    <col min="10571" max="10571" width="0.7109375" style="1" customWidth="1"/>
    <col min="10572" max="10572" width="3.28515625" style="1" customWidth="1"/>
    <col min="10573" max="10573" width="10" style="1"/>
    <col min="10574" max="10574" width="10.42578125" style="1" bestFit="1" customWidth="1"/>
    <col min="10575" max="10682" width="10" style="1"/>
    <col min="10683" max="10683" width="1.85546875" style="1" customWidth="1"/>
    <col min="10684" max="10684" width="1" style="1" customWidth="1"/>
    <col min="10685" max="10685" width="0.85546875" style="1" customWidth="1"/>
    <col min="10686" max="10686" width="58.28515625" style="1" customWidth="1"/>
    <col min="10687" max="10688" width="1" style="1" customWidth="1"/>
    <col min="10689" max="10689" width="16.85546875" style="1" customWidth="1"/>
    <col min="10690" max="10691" width="1" style="1" customWidth="1"/>
    <col min="10692" max="10736" width="0" style="1" hidden="1" customWidth="1"/>
    <col min="10737" max="10738" width="1" style="1" customWidth="1"/>
    <col min="10739" max="10739" width="17.85546875" style="1" customWidth="1"/>
    <col min="10740" max="10741" width="1" style="1" customWidth="1"/>
    <col min="10742" max="10751" width="0" style="1" hidden="1" customWidth="1"/>
    <col min="10752" max="10753" width="1" style="1" customWidth="1"/>
    <col min="10754" max="10754" width="16.140625" style="1" customWidth="1"/>
    <col min="10755" max="10758" width="1" style="1" customWidth="1"/>
    <col min="10759" max="10759" width="15.140625" style="1" customWidth="1"/>
    <col min="10760" max="10761" width="1" style="1" customWidth="1"/>
    <col min="10762" max="10806" width="0" style="1" hidden="1" customWidth="1"/>
    <col min="10807" max="10808" width="1" style="1" customWidth="1"/>
    <col min="10809" max="10809" width="17.85546875" style="1" customWidth="1"/>
    <col min="10810" max="10811" width="1" style="1" customWidth="1"/>
    <col min="10812" max="10821" width="0" style="1" hidden="1" customWidth="1"/>
    <col min="10822" max="10823" width="1" style="1" customWidth="1"/>
    <col min="10824" max="10824" width="15.7109375" style="1" customWidth="1"/>
    <col min="10825" max="10826" width="1" style="1" customWidth="1"/>
    <col min="10827" max="10827" width="0.7109375" style="1" customWidth="1"/>
    <col min="10828" max="10828" width="3.28515625" style="1" customWidth="1"/>
    <col min="10829" max="10829" width="10" style="1"/>
    <col min="10830" max="10830" width="10.42578125" style="1" bestFit="1" customWidth="1"/>
    <col min="10831" max="10938" width="10" style="1"/>
    <col min="10939" max="10939" width="1.85546875" style="1" customWidth="1"/>
    <col min="10940" max="10940" width="1" style="1" customWidth="1"/>
    <col min="10941" max="10941" width="0.85546875" style="1" customWidth="1"/>
    <col min="10942" max="10942" width="58.28515625" style="1" customWidth="1"/>
    <col min="10943" max="10944" width="1" style="1" customWidth="1"/>
    <col min="10945" max="10945" width="16.85546875" style="1" customWidth="1"/>
    <col min="10946" max="10947" width="1" style="1" customWidth="1"/>
    <col min="10948" max="10992" width="0" style="1" hidden="1" customWidth="1"/>
    <col min="10993" max="10994" width="1" style="1" customWidth="1"/>
    <col min="10995" max="10995" width="17.85546875" style="1" customWidth="1"/>
    <col min="10996" max="10997" width="1" style="1" customWidth="1"/>
    <col min="10998" max="11007" width="0" style="1" hidden="1" customWidth="1"/>
    <col min="11008" max="11009" width="1" style="1" customWidth="1"/>
    <col min="11010" max="11010" width="16.140625" style="1" customWidth="1"/>
    <col min="11011" max="11014" width="1" style="1" customWidth="1"/>
    <col min="11015" max="11015" width="15.140625" style="1" customWidth="1"/>
    <col min="11016" max="11017" width="1" style="1" customWidth="1"/>
    <col min="11018" max="11062" width="0" style="1" hidden="1" customWidth="1"/>
    <col min="11063" max="11064" width="1" style="1" customWidth="1"/>
    <col min="11065" max="11065" width="17.85546875" style="1" customWidth="1"/>
    <col min="11066" max="11067" width="1" style="1" customWidth="1"/>
    <col min="11068" max="11077" width="0" style="1" hidden="1" customWidth="1"/>
    <col min="11078" max="11079" width="1" style="1" customWidth="1"/>
    <col min="11080" max="11080" width="15.7109375" style="1" customWidth="1"/>
    <col min="11081" max="11082" width="1" style="1" customWidth="1"/>
    <col min="11083" max="11083" width="0.7109375" style="1" customWidth="1"/>
    <col min="11084" max="11084" width="3.28515625" style="1" customWidth="1"/>
    <col min="11085" max="11085" width="10" style="1"/>
    <col min="11086" max="11086" width="10.42578125" style="1" bestFit="1" customWidth="1"/>
    <col min="11087" max="11194" width="10" style="1"/>
    <col min="11195" max="11195" width="1.85546875" style="1" customWidth="1"/>
    <col min="11196" max="11196" width="1" style="1" customWidth="1"/>
    <col min="11197" max="11197" width="0.85546875" style="1" customWidth="1"/>
    <col min="11198" max="11198" width="58.28515625" style="1" customWidth="1"/>
    <col min="11199" max="11200" width="1" style="1" customWidth="1"/>
    <col min="11201" max="11201" width="16.85546875" style="1" customWidth="1"/>
    <col min="11202" max="11203" width="1" style="1" customWidth="1"/>
    <col min="11204" max="11248" width="0" style="1" hidden="1" customWidth="1"/>
    <col min="11249" max="11250" width="1" style="1" customWidth="1"/>
    <col min="11251" max="11251" width="17.85546875" style="1" customWidth="1"/>
    <col min="11252" max="11253" width="1" style="1" customWidth="1"/>
    <col min="11254" max="11263" width="0" style="1" hidden="1" customWidth="1"/>
    <col min="11264" max="11265" width="1" style="1" customWidth="1"/>
    <col min="11266" max="11266" width="16.140625" style="1" customWidth="1"/>
    <col min="11267" max="11270" width="1" style="1" customWidth="1"/>
    <col min="11271" max="11271" width="15.140625" style="1" customWidth="1"/>
    <col min="11272" max="11273" width="1" style="1" customWidth="1"/>
    <col min="11274" max="11318" width="0" style="1" hidden="1" customWidth="1"/>
    <col min="11319" max="11320" width="1" style="1" customWidth="1"/>
    <col min="11321" max="11321" width="17.85546875" style="1" customWidth="1"/>
    <col min="11322" max="11323" width="1" style="1" customWidth="1"/>
    <col min="11324" max="11333" width="0" style="1" hidden="1" customWidth="1"/>
    <col min="11334" max="11335" width="1" style="1" customWidth="1"/>
    <col min="11336" max="11336" width="15.7109375" style="1" customWidth="1"/>
    <col min="11337" max="11338" width="1" style="1" customWidth="1"/>
    <col min="11339" max="11339" width="0.7109375" style="1" customWidth="1"/>
    <col min="11340" max="11340" width="3.28515625" style="1" customWidth="1"/>
    <col min="11341" max="11341" width="10" style="1"/>
    <col min="11342" max="11342" width="10.42578125" style="1" bestFit="1" customWidth="1"/>
    <col min="11343" max="11450" width="10" style="1"/>
    <col min="11451" max="11451" width="1.85546875" style="1" customWidth="1"/>
    <col min="11452" max="11452" width="1" style="1" customWidth="1"/>
    <col min="11453" max="11453" width="0.85546875" style="1" customWidth="1"/>
    <col min="11454" max="11454" width="58.28515625" style="1" customWidth="1"/>
    <col min="11455" max="11456" width="1" style="1" customWidth="1"/>
    <col min="11457" max="11457" width="16.85546875" style="1" customWidth="1"/>
    <col min="11458" max="11459" width="1" style="1" customWidth="1"/>
    <col min="11460" max="11504" width="0" style="1" hidden="1" customWidth="1"/>
    <col min="11505" max="11506" width="1" style="1" customWidth="1"/>
    <col min="11507" max="11507" width="17.85546875" style="1" customWidth="1"/>
    <col min="11508" max="11509" width="1" style="1" customWidth="1"/>
    <col min="11510" max="11519" width="0" style="1" hidden="1" customWidth="1"/>
    <col min="11520" max="11521" width="1" style="1" customWidth="1"/>
    <col min="11522" max="11522" width="16.140625" style="1" customWidth="1"/>
    <col min="11523" max="11526" width="1" style="1" customWidth="1"/>
    <col min="11527" max="11527" width="15.140625" style="1" customWidth="1"/>
    <col min="11528" max="11529" width="1" style="1" customWidth="1"/>
    <col min="11530" max="11574" width="0" style="1" hidden="1" customWidth="1"/>
    <col min="11575" max="11576" width="1" style="1" customWidth="1"/>
    <col min="11577" max="11577" width="17.85546875" style="1" customWidth="1"/>
    <col min="11578" max="11579" width="1" style="1" customWidth="1"/>
    <col min="11580" max="11589" width="0" style="1" hidden="1" customWidth="1"/>
    <col min="11590" max="11591" width="1" style="1" customWidth="1"/>
    <col min="11592" max="11592" width="15.7109375" style="1" customWidth="1"/>
    <col min="11593" max="11594" width="1" style="1" customWidth="1"/>
    <col min="11595" max="11595" width="0.7109375" style="1" customWidth="1"/>
    <col min="11596" max="11596" width="3.28515625" style="1" customWidth="1"/>
    <col min="11597" max="11597" width="10" style="1"/>
    <col min="11598" max="11598" width="10.42578125" style="1" bestFit="1" customWidth="1"/>
    <col min="11599" max="11706" width="10" style="1"/>
    <col min="11707" max="11707" width="1.85546875" style="1" customWidth="1"/>
    <col min="11708" max="11708" width="1" style="1" customWidth="1"/>
    <col min="11709" max="11709" width="0.85546875" style="1" customWidth="1"/>
    <col min="11710" max="11710" width="58.28515625" style="1" customWidth="1"/>
    <col min="11711" max="11712" width="1" style="1" customWidth="1"/>
    <col min="11713" max="11713" width="16.85546875" style="1" customWidth="1"/>
    <col min="11714" max="11715" width="1" style="1" customWidth="1"/>
    <col min="11716" max="11760" width="0" style="1" hidden="1" customWidth="1"/>
    <col min="11761" max="11762" width="1" style="1" customWidth="1"/>
    <col min="11763" max="11763" width="17.85546875" style="1" customWidth="1"/>
    <col min="11764" max="11765" width="1" style="1" customWidth="1"/>
    <col min="11766" max="11775" width="0" style="1" hidden="1" customWidth="1"/>
    <col min="11776" max="11777" width="1" style="1" customWidth="1"/>
    <col min="11778" max="11778" width="16.140625" style="1" customWidth="1"/>
    <col min="11779" max="11782" width="1" style="1" customWidth="1"/>
    <col min="11783" max="11783" width="15.140625" style="1" customWidth="1"/>
    <col min="11784" max="11785" width="1" style="1" customWidth="1"/>
    <col min="11786" max="11830" width="0" style="1" hidden="1" customWidth="1"/>
    <col min="11831" max="11832" width="1" style="1" customWidth="1"/>
    <col min="11833" max="11833" width="17.85546875" style="1" customWidth="1"/>
    <col min="11834" max="11835" width="1" style="1" customWidth="1"/>
    <col min="11836" max="11845" width="0" style="1" hidden="1" customWidth="1"/>
    <col min="11846" max="11847" width="1" style="1" customWidth="1"/>
    <col min="11848" max="11848" width="15.7109375" style="1" customWidth="1"/>
    <col min="11849" max="11850" width="1" style="1" customWidth="1"/>
    <col min="11851" max="11851" width="0.7109375" style="1" customWidth="1"/>
    <col min="11852" max="11852" width="3.28515625" style="1" customWidth="1"/>
    <col min="11853" max="11853" width="10" style="1"/>
    <col min="11854" max="11854" width="10.42578125" style="1" bestFit="1" customWidth="1"/>
    <col min="11855" max="11962" width="10" style="1"/>
    <col min="11963" max="11963" width="1.85546875" style="1" customWidth="1"/>
    <col min="11964" max="11964" width="1" style="1" customWidth="1"/>
    <col min="11965" max="11965" width="0.85546875" style="1" customWidth="1"/>
    <col min="11966" max="11966" width="58.28515625" style="1" customWidth="1"/>
    <col min="11967" max="11968" width="1" style="1" customWidth="1"/>
    <col min="11969" max="11969" width="16.85546875" style="1" customWidth="1"/>
    <col min="11970" max="11971" width="1" style="1" customWidth="1"/>
    <col min="11972" max="12016" width="0" style="1" hidden="1" customWidth="1"/>
    <col min="12017" max="12018" width="1" style="1" customWidth="1"/>
    <col min="12019" max="12019" width="17.85546875" style="1" customWidth="1"/>
    <col min="12020" max="12021" width="1" style="1" customWidth="1"/>
    <col min="12022" max="12031" width="0" style="1" hidden="1" customWidth="1"/>
    <col min="12032" max="12033" width="1" style="1" customWidth="1"/>
    <col min="12034" max="12034" width="16.140625" style="1" customWidth="1"/>
    <col min="12035" max="12038" width="1" style="1" customWidth="1"/>
    <col min="12039" max="12039" width="15.140625" style="1" customWidth="1"/>
    <col min="12040" max="12041" width="1" style="1" customWidth="1"/>
    <col min="12042" max="12086" width="0" style="1" hidden="1" customWidth="1"/>
    <col min="12087" max="12088" width="1" style="1" customWidth="1"/>
    <col min="12089" max="12089" width="17.85546875" style="1" customWidth="1"/>
    <col min="12090" max="12091" width="1" style="1" customWidth="1"/>
    <col min="12092" max="12101" width="0" style="1" hidden="1" customWidth="1"/>
    <col min="12102" max="12103" width="1" style="1" customWidth="1"/>
    <col min="12104" max="12104" width="15.7109375" style="1" customWidth="1"/>
    <col min="12105" max="12106" width="1" style="1" customWidth="1"/>
    <col min="12107" max="12107" width="0.7109375" style="1" customWidth="1"/>
    <col min="12108" max="12108" width="3.28515625" style="1" customWidth="1"/>
    <col min="12109" max="12109" width="10" style="1"/>
    <col min="12110" max="12110" width="10.42578125" style="1" bestFit="1" customWidth="1"/>
    <col min="12111" max="12218" width="10" style="1"/>
    <col min="12219" max="12219" width="1.85546875" style="1" customWidth="1"/>
    <col min="12220" max="12220" width="1" style="1" customWidth="1"/>
    <col min="12221" max="12221" width="0.85546875" style="1" customWidth="1"/>
    <col min="12222" max="12222" width="58.28515625" style="1" customWidth="1"/>
    <col min="12223" max="12224" width="1" style="1" customWidth="1"/>
    <col min="12225" max="12225" width="16.85546875" style="1" customWidth="1"/>
    <col min="12226" max="12227" width="1" style="1" customWidth="1"/>
    <col min="12228" max="12272" width="0" style="1" hidden="1" customWidth="1"/>
    <col min="12273" max="12274" width="1" style="1" customWidth="1"/>
    <col min="12275" max="12275" width="17.85546875" style="1" customWidth="1"/>
    <col min="12276" max="12277" width="1" style="1" customWidth="1"/>
    <col min="12278" max="12287" width="0" style="1" hidden="1" customWidth="1"/>
    <col min="12288" max="12289" width="1" style="1" customWidth="1"/>
    <col min="12290" max="12290" width="16.140625" style="1" customWidth="1"/>
    <col min="12291" max="12294" width="1" style="1" customWidth="1"/>
    <col min="12295" max="12295" width="15.140625" style="1" customWidth="1"/>
    <col min="12296" max="12297" width="1" style="1" customWidth="1"/>
    <col min="12298" max="12342" width="0" style="1" hidden="1" customWidth="1"/>
    <col min="12343" max="12344" width="1" style="1" customWidth="1"/>
    <col min="12345" max="12345" width="17.85546875" style="1" customWidth="1"/>
    <col min="12346" max="12347" width="1" style="1" customWidth="1"/>
    <col min="12348" max="12357" width="0" style="1" hidden="1" customWidth="1"/>
    <col min="12358" max="12359" width="1" style="1" customWidth="1"/>
    <col min="12360" max="12360" width="15.7109375" style="1" customWidth="1"/>
    <col min="12361" max="12362" width="1" style="1" customWidth="1"/>
    <col min="12363" max="12363" width="0.7109375" style="1" customWidth="1"/>
    <col min="12364" max="12364" width="3.28515625" style="1" customWidth="1"/>
    <col min="12365" max="12365" width="10" style="1"/>
    <col min="12366" max="12366" width="10.42578125" style="1" bestFit="1" customWidth="1"/>
    <col min="12367" max="12474" width="10" style="1"/>
    <col min="12475" max="12475" width="1.85546875" style="1" customWidth="1"/>
    <col min="12476" max="12476" width="1" style="1" customWidth="1"/>
    <col min="12477" max="12477" width="0.85546875" style="1" customWidth="1"/>
    <col min="12478" max="12478" width="58.28515625" style="1" customWidth="1"/>
    <col min="12479" max="12480" width="1" style="1" customWidth="1"/>
    <col min="12481" max="12481" width="16.85546875" style="1" customWidth="1"/>
    <col min="12482" max="12483" width="1" style="1" customWidth="1"/>
    <col min="12484" max="12528" width="0" style="1" hidden="1" customWidth="1"/>
    <col min="12529" max="12530" width="1" style="1" customWidth="1"/>
    <col min="12531" max="12531" width="17.85546875" style="1" customWidth="1"/>
    <col min="12532" max="12533" width="1" style="1" customWidth="1"/>
    <col min="12534" max="12543" width="0" style="1" hidden="1" customWidth="1"/>
    <col min="12544" max="12545" width="1" style="1" customWidth="1"/>
    <col min="12546" max="12546" width="16.140625" style="1" customWidth="1"/>
    <col min="12547" max="12550" width="1" style="1" customWidth="1"/>
    <col min="12551" max="12551" width="15.140625" style="1" customWidth="1"/>
    <col min="12552" max="12553" width="1" style="1" customWidth="1"/>
    <col min="12554" max="12598" width="0" style="1" hidden="1" customWidth="1"/>
    <col min="12599" max="12600" width="1" style="1" customWidth="1"/>
    <col min="12601" max="12601" width="17.85546875" style="1" customWidth="1"/>
    <col min="12602" max="12603" width="1" style="1" customWidth="1"/>
    <col min="12604" max="12613" width="0" style="1" hidden="1" customWidth="1"/>
    <col min="12614" max="12615" width="1" style="1" customWidth="1"/>
    <col min="12616" max="12616" width="15.7109375" style="1" customWidth="1"/>
    <col min="12617" max="12618" width="1" style="1" customWidth="1"/>
    <col min="12619" max="12619" width="0.7109375" style="1" customWidth="1"/>
    <col min="12620" max="12620" width="3.28515625" style="1" customWidth="1"/>
    <col min="12621" max="12621" width="10" style="1"/>
    <col min="12622" max="12622" width="10.42578125" style="1" bestFit="1" customWidth="1"/>
    <col min="12623" max="12730" width="10" style="1"/>
    <col min="12731" max="12731" width="1.85546875" style="1" customWidth="1"/>
    <col min="12732" max="12732" width="1" style="1" customWidth="1"/>
    <col min="12733" max="12733" width="0.85546875" style="1" customWidth="1"/>
    <col min="12734" max="12734" width="58.28515625" style="1" customWidth="1"/>
    <col min="12735" max="12736" width="1" style="1" customWidth="1"/>
    <col min="12737" max="12737" width="16.85546875" style="1" customWidth="1"/>
    <col min="12738" max="12739" width="1" style="1" customWidth="1"/>
    <col min="12740" max="12784" width="0" style="1" hidden="1" customWidth="1"/>
    <col min="12785" max="12786" width="1" style="1" customWidth="1"/>
    <col min="12787" max="12787" width="17.85546875" style="1" customWidth="1"/>
    <col min="12788" max="12789" width="1" style="1" customWidth="1"/>
    <col min="12790" max="12799" width="0" style="1" hidden="1" customWidth="1"/>
    <col min="12800" max="12801" width="1" style="1" customWidth="1"/>
    <col min="12802" max="12802" width="16.140625" style="1" customWidth="1"/>
    <col min="12803" max="12806" width="1" style="1" customWidth="1"/>
    <col min="12807" max="12807" width="15.140625" style="1" customWidth="1"/>
    <col min="12808" max="12809" width="1" style="1" customWidth="1"/>
    <col min="12810" max="12854" width="0" style="1" hidden="1" customWidth="1"/>
    <col min="12855" max="12856" width="1" style="1" customWidth="1"/>
    <col min="12857" max="12857" width="17.85546875" style="1" customWidth="1"/>
    <col min="12858" max="12859" width="1" style="1" customWidth="1"/>
    <col min="12860" max="12869" width="0" style="1" hidden="1" customWidth="1"/>
    <col min="12870" max="12871" width="1" style="1" customWidth="1"/>
    <col min="12872" max="12872" width="15.7109375" style="1" customWidth="1"/>
    <col min="12873" max="12874" width="1" style="1" customWidth="1"/>
    <col min="12875" max="12875" width="0.7109375" style="1" customWidth="1"/>
    <col min="12876" max="12876" width="3.28515625" style="1" customWidth="1"/>
    <col min="12877" max="12877" width="10" style="1"/>
    <col min="12878" max="12878" width="10.42578125" style="1" bestFit="1" customWidth="1"/>
    <col min="12879" max="12986" width="10" style="1"/>
    <col min="12987" max="12987" width="1.85546875" style="1" customWidth="1"/>
    <col min="12988" max="12988" width="1" style="1" customWidth="1"/>
    <col min="12989" max="12989" width="0.85546875" style="1" customWidth="1"/>
    <col min="12990" max="12990" width="58.28515625" style="1" customWidth="1"/>
    <col min="12991" max="12992" width="1" style="1" customWidth="1"/>
    <col min="12993" max="12993" width="16.85546875" style="1" customWidth="1"/>
    <col min="12994" max="12995" width="1" style="1" customWidth="1"/>
    <col min="12996" max="13040" width="0" style="1" hidden="1" customWidth="1"/>
    <col min="13041" max="13042" width="1" style="1" customWidth="1"/>
    <col min="13043" max="13043" width="17.85546875" style="1" customWidth="1"/>
    <col min="13044" max="13045" width="1" style="1" customWidth="1"/>
    <col min="13046" max="13055" width="0" style="1" hidden="1" customWidth="1"/>
    <col min="13056" max="13057" width="1" style="1" customWidth="1"/>
    <col min="13058" max="13058" width="16.140625" style="1" customWidth="1"/>
    <col min="13059" max="13062" width="1" style="1" customWidth="1"/>
    <col min="13063" max="13063" width="15.140625" style="1" customWidth="1"/>
    <col min="13064" max="13065" width="1" style="1" customWidth="1"/>
    <col min="13066" max="13110" width="0" style="1" hidden="1" customWidth="1"/>
    <col min="13111" max="13112" width="1" style="1" customWidth="1"/>
    <col min="13113" max="13113" width="17.85546875" style="1" customWidth="1"/>
    <col min="13114" max="13115" width="1" style="1" customWidth="1"/>
    <col min="13116" max="13125" width="0" style="1" hidden="1" customWidth="1"/>
    <col min="13126" max="13127" width="1" style="1" customWidth="1"/>
    <col min="13128" max="13128" width="15.7109375" style="1" customWidth="1"/>
    <col min="13129" max="13130" width="1" style="1" customWidth="1"/>
    <col min="13131" max="13131" width="0.7109375" style="1" customWidth="1"/>
    <col min="13132" max="13132" width="3.28515625" style="1" customWidth="1"/>
    <col min="13133" max="13133" width="10" style="1"/>
    <col min="13134" max="13134" width="10.42578125" style="1" bestFit="1" customWidth="1"/>
    <col min="13135" max="13242" width="10" style="1"/>
    <col min="13243" max="13243" width="1.85546875" style="1" customWidth="1"/>
    <col min="13244" max="13244" width="1" style="1" customWidth="1"/>
    <col min="13245" max="13245" width="0.85546875" style="1" customWidth="1"/>
    <col min="13246" max="13246" width="58.28515625" style="1" customWidth="1"/>
    <col min="13247" max="13248" width="1" style="1" customWidth="1"/>
    <col min="13249" max="13249" width="16.85546875" style="1" customWidth="1"/>
    <col min="13250" max="13251" width="1" style="1" customWidth="1"/>
    <col min="13252" max="13296" width="0" style="1" hidden="1" customWidth="1"/>
    <col min="13297" max="13298" width="1" style="1" customWidth="1"/>
    <col min="13299" max="13299" width="17.85546875" style="1" customWidth="1"/>
    <col min="13300" max="13301" width="1" style="1" customWidth="1"/>
    <col min="13302" max="13311" width="0" style="1" hidden="1" customWidth="1"/>
    <col min="13312" max="13313" width="1" style="1" customWidth="1"/>
    <col min="13314" max="13314" width="16.140625" style="1" customWidth="1"/>
    <col min="13315" max="13318" width="1" style="1" customWidth="1"/>
    <col min="13319" max="13319" width="15.140625" style="1" customWidth="1"/>
    <col min="13320" max="13321" width="1" style="1" customWidth="1"/>
    <col min="13322" max="13366" width="0" style="1" hidden="1" customWidth="1"/>
    <col min="13367" max="13368" width="1" style="1" customWidth="1"/>
    <col min="13369" max="13369" width="17.85546875" style="1" customWidth="1"/>
    <col min="13370" max="13371" width="1" style="1" customWidth="1"/>
    <col min="13372" max="13381" width="0" style="1" hidden="1" customWidth="1"/>
    <col min="13382" max="13383" width="1" style="1" customWidth="1"/>
    <col min="13384" max="13384" width="15.7109375" style="1" customWidth="1"/>
    <col min="13385" max="13386" width="1" style="1" customWidth="1"/>
    <col min="13387" max="13387" width="0.7109375" style="1" customWidth="1"/>
    <col min="13388" max="13388" width="3.28515625" style="1" customWidth="1"/>
    <col min="13389" max="13389" width="10" style="1"/>
    <col min="13390" max="13390" width="10.42578125" style="1" bestFit="1" customWidth="1"/>
    <col min="13391" max="13498" width="10" style="1"/>
    <col min="13499" max="13499" width="1.85546875" style="1" customWidth="1"/>
    <col min="13500" max="13500" width="1" style="1" customWidth="1"/>
    <col min="13501" max="13501" width="0.85546875" style="1" customWidth="1"/>
    <col min="13502" max="13502" width="58.28515625" style="1" customWidth="1"/>
    <col min="13503" max="13504" width="1" style="1" customWidth="1"/>
    <col min="13505" max="13505" width="16.85546875" style="1" customWidth="1"/>
    <col min="13506" max="13507" width="1" style="1" customWidth="1"/>
    <col min="13508" max="13552" width="0" style="1" hidden="1" customWidth="1"/>
    <col min="13553" max="13554" width="1" style="1" customWidth="1"/>
    <col min="13555" max="13555" width="17.85546875" style="1" customWidth="1"/>
    <col min="13556" max="13557" width="1" style="1" customWidth="1"/>
    <col min="13558" max="13567" width="0" style="1" hidden="1" customWidth="1"/>
    <col min="13568" max="13569" width="1" style="1" customWidth="1"/>
    <col min="13570" max="13570" width="16.140625" style="1" customWidth="1"/>
    <col min="13571" max="13574" width="1" style="1" customWidth="1"/>
    <col min="13575" max="13575" width="15.140625" style="1" customWidth="1"/>
    <col min="13576" max="13577" width="1" style="1" customWidth="1"/>
    <col min="13578" max="13622" width="0" style="1" hidden="1" customWidth="1"/>
    <col min="13623" max="13624" width="1" style="1" customWidth="1"/>
    <col min="13625" max="13625" width="17.85546875" style="1" customWidth="1"/>
    <col min="13626" max="13627" width="1" style="1" customWidth="1"/>
    <col min="13628" max="13637" width="0" style="1" hidden="1" customWidth="1"/>
    <col min="13638" max="13639" width="1" style="1" customWidth="1"/>
    <col min="13640" max="13640" width="15.7109375" style="1" customWidth="1"/>
    <col min="13641" max="13642" width="1" style="1" customWidth="1"/>
    <col min="13643" max="13643" width="0.7109375" style="1" customWidth="1"/>
    <col min="13644" max="13644" width="3.28515625" style="1" customWidth="1"/>
    <col min="13645" max="13645" width="10" style="1"/>
    <col min="13646" max="13646" width="10.42578125" style="1" bestFit="1" customWidth="1"/>
    <col min="13647" max="13754" width="10" style="1"/>
    <col min="13755" max="13755" width="1.85546875" style="1" customWidth="1"/>
    <col min="13756" max="13756" width="1" style="1" customWidth="1"/>
    <col min="13757" max="13757" width="0.85546875" style="1" customWidth="1"/>
    <col min="13758" max="13758" width="58.28515625" style="1" customWidth="1"/>
    <col min="13759" max="13760" width="1" style="1" customWidth="1"/>
    <col min="13761" max="13761" width="16.85546875" style="1" customWidth="1"/>
    <col min="13762" max="13763" width="1" style="1" customWidth="1"/>
    <col min="13764" max="13808" width="0" style="1" hidden="1" customWidth="1"/>
    <col min="13809" max="13810" width="1" style="1" customWidth="1"/>
    <col min="13811" max="13811" width="17.85546875" style="1" customWidth="1"/>
    <col min="13812" max="13813" width="1" style="1" customWidth="1"/>
    <col min="13814" max="13823" width="0" style="1" hidden="1" customWidth="1"/>
    <col min="13824" max="13825" width="1" style="1" customWidth="1"/>
    <col min="13826" max="13826" width="16.140625" style="1" customWidth="1"/>
    <col min="13827" max="13830" width="1" style="1" customWidth="1"/>
    <col min="13831" max="13831" width="15.140625" style="1" customWidth="1"/>
    <col min="13832" max="13833" width="1" style="1" customWidth="1"/>
    <col min="13834" max="13878" width="0" style="1" hidden="1" customWidth="1"/>
    <col min="13879" max="13880" width="1" style="1" customWidth="1"/>
    <col min="13881" max="13881" width="17.85546875" style="1" customWidth="1"/>
    <col min="13882" max="13883" width="1" style="1" customWidth="1"/>
    <col min="13884" max="13893" width="0" style="1" hidden="1" customWidth="1"/>
    <col min="13894" max="13895" width="1" style="1" customWidth="1"/>
    <col min="13896" max="13896" width="15.7109375" style="1" customWidth="1"/>
    <col min="13897" max="13898" width="1" style="1" customWidth="1"/>
    <col min="13899" max="13899" width="0.7109375" style="1" customWidth="1"/>
    <col min="13900" max="13900" width="3.28515625" style="1" customWidth="1"/>
    <col min="13901" max="13901" width="10" style="1"/>
    <col min="13902" max="13902" width="10.42578125" style="1" bestFit="1" customWidth="1"/>
    <col min="13903" max="14010" width="10" style="1"/>
    <col min="14011" max="14011" width="1.85546875" style="1" customWidth="1"/>
    <col min="14012" max="14012" width="1" style="1" customWidth="1"/>
    <col min="14013" max="14013" width="0.85546875" style="1" customWidth="1"/>
    <col min="14014" max="14014" width="58.28515625" style="1" customWidth="1"/>
    <col min="14015" max="14016" width="1" style="1" customWidth="1"/>
    <col min="14017" max="14017" width="16.85546875" style="1" customWidth="1"/>
    <col min="14018" max="14019" width="1" style="1" customWidth="1"/>
    <col min="14020" max="14064" width="0" style="1" hidden="1" customWidth="1"/>
    <col min="14065" max="14066" width="1" style="1" customWidth="1"/>
    <col min="14067" max="14067" width="17.85546875" style="1" customWidth="1"/>
    <col min="14068" max="14069" width="1" style="1" customWidth="1"/>
    <col min="14070" max="14079" width="0" style="1" hidden="1" customWidth="1"/>
    <col min="14080" max="14081" width="1" style="1" customWidth="1"/>
    <col min="14082" max="14082" width="16.140625" style="1" customWidth="1"/>
    <col min="14083" max="14086" width="1" style="1" customWidth="1"/>
    <col min="14087" max="14087" width="15.140625" style="1" customWidth="1"/>
    <col min="14088" max="14089" width="1" style="1" customWidth="1"/>
    <col min="14090" max="14134" width="0" style="1" hidden="1" customWidth="1"/>
    <col min="14135" max="14136" width="1" style="1" customWidth="1"/>
    <col min="14137" max="14137" width="17.85546875" style="1" customWidth="1"/>
    <col min="14138" max="14139" width="1" style="1" customWidth="1"/>
    <col min="14140" max="14149" width="0" style="1" hidden="1" customWidth="1"/>
    <col min="14150" max="14151" width="1" style="1" customWidth="1"/>
    <col min="14152" max="14152" width="15.7109375" style="1" customWidth="1"/>
    <col min="14153" max="14154" width="1" style="1" customWidth="1"/>
    <col min="14155" max="14155" width="0.7109375" style="1" customWidth="1"/>
    <col min="14156" max="14156" width="3.28515625" style="1" customWidth="1"/>
    <col min="14157" max="14157" width="10" style="1"/>
    <col min="14158" max="14158" width="10.42578125" style="1" bestFit="1" customWidth="1"/>
    <col min="14159" max="14266" width="10" style="1"/>
    <col min="14267" max="14267" width="1.85546875" style="1" customWidth="1"/>
    <col min="14268" max="14268" width="1" style="1" customWidth="1"/>
    <col min="14269" max="14269" width="0.85546875" style="1" customWidth="1"/>
    <col min="14270" max="14270" width="58.28515625" style="1" customWidth="1"/>
    <col min="14271" max="14272" width="1" style="1" customWidth="1"/>
    <col min="14273" max="14273" width="16.85546875" style="1" customWidth="1"/>
    <col min="14274" max="14275" width="1" style="1" customWidth="1"/>
    <col min="14276" max="14320" width="0" style="1" hidden="1" customWidth="1"/>
    <col min="14321" max="14322" width="1" style="1" customWidth="1"/>
    <col min="14323" max="14323" width="17.85546875" style="1" customWidth="1"/>
    <col min="14324" max="14325" width="1" style="1" customWidth="1"/>
    <col min="14326" max="14335" width="0" style="1" hidden="1" customWidth="1"/>
    <col min="14336" max="14337" width="1" style="1" customWidth="1"/>
    <col min="14338" max="14338" width="16.140625" style="1" customWidth="1"/>
    <col min="14339" max="14342" width="1" style="1" customWidth="1"/>
    <col min="14343" max="14343" width="15.140625" style="1" customWidth="1"/>
    <col min="14344" max="14345" width="1" style="1" customWidth="1"/>
    <col min="14346" max="14390" width="0" style="1" hidden="1" customWidth="1"/>
    <col min="14391" max="14392" width="1" style="1" customWidth="1"/>
    <col min="14393" max="14393" width="17.85546875" style="1" customWidth="1"/>
    <col min="14394" max="14395" width="1" style="1" customWidth="1"/>
    <col min="14396" max="14405" width="0" style="1" hidden="1" customWidth="1"/>
    <col min="14406" max="14407" width="1" style="1" customWidth="1"/>
    <col min="14408" max="14408" width="15.7109375" style="1" customWidth="1"/>
    <col min="14409" max="14410" width="1" style="1" customWidth="1"/>
    <col min="14411" max="14411" width="0.7109375" style="1" customWidth="1"/>
    <col min="14412" max="14412" width="3.28515625" style="1" customWidth="1"/>
    <col min="14413" max="14413" width="10" style="1"/>
    <col min="14414" max="14414" width="10.42578125" style="1" bestFit="1" customWidth="1"/>
    <col min="14415" max="14522" width="10" style="1"/>
    <col min="14523" max="14523" width="1.85546875" style="1" customWidth="1"/>
    <col min="14524" max="14524" width="1" style="1" customWidth="1"/>
    <col min="14525" max="14525" width="0.85546875" style="1" customWidth="1"/>
    <col min="14526" max="14526" width="58.28515625" style="1" customWidth="1"/>
    <col min="14527" max="14528" width="1" style="1" customWidth="1"/>
    <col min="14529" max="14529" width="16.85546875" style="1" customWidth="1"/>
    <col min="14530" max="14531" width="1" style="1" customWidth="1"/>
    <col min="14532" max="14576" width="0" style="1" hidden="1" customWidth="1"/>
    <col min="14577" max="14578" width="1" style="1" customWidth="1"/>
    <col min="14579" max="14579" width="17.85546875" style="1" customWidth="1"/>
    <col min="14580" max="14581" width="1" style="1" customWidth="1"/>
    <col min="14582" max="14591" width="0" style="1" hidden="1" customWidth="1"/>
    <col min="14592" max="14593" width="1" style="1" customWidth="1"/>
    <col min="14594" max="14594" width="16.140625" style="1" customWidth="1"/>
    <col min="14595" max="14598" width="1" style="1" customWidth="1"/>
    <col min="14599" max="14599" width="15.140625" style="1" customWidth="1"/>
    <col min="14600" max="14601" width="1" style="1" customWidth="1"/>
    <col min="14602" max="14646" width="0" style="1" hidden="1" customWidth="1"/>
    <col min="14647" max="14648" width="1" style="1" customWidth="1"/>
    <col min="14649" max="14649" width="17.85546875" style="1" customWidth="1"/>
    <col min="14650" max="14651" width="1" style="1" customWidth="1"/>
    <col min="14652" max="14661" width="0" style="1" hidden="1" customWidth="1"/>
    <col min="14662" max="14663" width="1" style="1" customWidth="1"/>
    <col min="14664" max="14664" width="15.7109375" style="1" customWidth="1"/>
    <col min="14665" max="14666" width="1" style="1" customWidth="1"/>
    <col min="14667" max="14667" width="0.7109375" style="1" customWidth="1"/>
    <col min="14668" max="14668" width="3.28515625" style="1" customWidth="1"/>
    <col min="14669" max="14669" width="10" style="1"/>
    <col min="14670" max="14670" width="10.42578125" style="1" bestFit="1" customWidth="1"/>
    <col min="14671" max="14778" width="10" style="1"/>
    <col min="14779" max="14779" width="1.85546875" style="1" customWidth="1"/>
    <col min="14780" max="14780" width="1" style="1" customWidth="1"/>
    <col min="14781" max="14781" width="0.85546875" style="1" customWidth="1"/>
    <col min="14782" max="14782" width="58.28515625" style="1" customWidth="1"/>
    <col min="14783" max="14784" width="1" style="1" customWidth="1"/>
    <col min="14785" max="14785" width="16.85546875" style="1" customWidth="1"/>
    <col min="14786" max="14787" width="1" style="1" customWidth="1"/>
    <col min="14788" max="14832" width="0" style="1" hidden="1" customWidth="1"/>
    <col min="14833" max="14834" width="1" style="1" customWidth="1"/>
    <col min="14835" max="14835" width="17.85546875" style="1" customWidth="1"/>
    <col min="14836" max="14837" width="1" style="1" customWidth="1"/>
    <col min="14838" max="14847" width="0" style="1" hidden="1" customWidth="1"/>
    <col min="14848" max="14849" width="1" style="1" customWidth="1"/>
    <col min="14850" max="14850" width="16.140625" style="1" customWidth="1"/>
    <col min="14851" max="14854" width="1" style="1" customWidth="1"/>
    <col min="14855" max="14855" width="15.140625" style="1" customWidth="1"/>
    <col min="14856" max="14857" width="1" style="1" customWidth="1"/>
    <col min="14858" max="14902" width="0" style="1" hidden="1" customWidth="1"/>
    <col min="14903" max="14904" width="1" style="1" customWidth="1"/>
    <col min="14905" max="14905" width="17.85546875" style="1" customWidth="1"/>
    <col min="14906" max="14907" width="1" style="1" customWidth="1"/>
    <col min="14908" max="14917" width="0" style="1" hidden="1" customWidth="1"/>
    <col min="14918" max="14919" width="1" style="1" customWidth="1"/>
    <col min="14920" max="14920" width="15.7109375" style="1" customWidth="1"/>
    <col min="14921" max="14922" width="1" style="1" customWidth="1"/>
    <col min="14923" max="14923" width="0.7109375" style="1" customWidth="1"/>
    <col min="14924" max="14924" width="3.28515625" style="1" customWidth="1"/>
    <col min="14925" max="14925" width="10" style="1"/>
    <col min="14926" max="14926" width="10.42578125" style="1" bestFit="1" customWidth="1"/>
    <col min="14927" max="15034" width="10" style="1"/>
    <col min="15035" max="15035" width="1.85546875" style="1" customWidth="1"/>
    <col min="15036" max="15036" width="1" style="1" customWidth="1"/>
    <col min="15037" max="15037" width="0.85546875" style="1" customWidth="1"/>
    <col min="15038" max="15038" width="58.28515625" style="1" customWidth="1"/>
    <col min="15039" max="15040" width="1" style="1" customWidth="1"/>
    <col min="15041" max="15041" width="16.85546875" style="1" customWidth="1"/>
    <col min="15042" max="15043" width="1" style="1" customWidth="1"/>
    <col min="15044" max="15088" width="0" style="1" hidden="1" customWidth="1"/>
    <col min="15089" max="15090" width="1" style="1" customWidth="1"/>
    <col min="15091" max="15091" width="17.85546875" style="1" customWidth="1"/>
    <col min="15092" max="15093" width="1" style="1" customWidth="1"/>
    <col min="15094" max="15103" width="0" style="1" hidden="1" customWidth="1"/>
    <col min="15104" max="15105" width="1" style="1" customWidth="1"/>
    <col min="15106" max="15106" width="16.140625" style="1" customWidth="1"/>
    <col min="15107" max="15110" width="1" style="1" customWidth="1"/>
    <col min="15111" max="15111" width="15.140625" style="1" customWidth="1"/>
    <col min="15112" max="15113" width="1" style="1" customWidth="1"/>
    <col min="15114" max="15158" width="0" style="1" hidden="1" customWidth="1"/>
    <col min="15159" max="15160" width="1" style="1" customWidth="1"/>
    <col min="15161" max="15161" width="17.85546875" style="1" customWidth="1"/>
    <col min="15162" max="15163" width="1" style="1" customWidth="1"/>
    <col min="15164" max="15173" width="0" style="1" hidden="1" customWidth="1"/>
    <col min="15174" max="15175" width="1" style="1" customWidth="1"/>
    <col min="15176" max="15176" width="15.7109375" style="1" customWidth="1"/>
    <col min="15177" max="15178" width="1" style="1" customWidth="1"/>
    <col min="15179" max="15179" width="0.7109375" style="1" customWidth="1"/>
    <col min="15180" max="15180" width="3.28515625" style="1" customWidth="1"/>
    <col min="15181" max="15181" width="10" style="1"/>
    <col min="15182" max="15182" width="10.42578125" style="1" bestFit="1" customWidth="1"/>
    <col min="15183" max="15290" width="10" style="1"/>
    <col min="15291" max="15291" width="1.85546875" style="1" customWidth="1"/>
    <col min="15292" max="15292" width="1" style="1" customWidth="1"/>
    <col min="15293" max="15293" width="0.85546875" style="1" customWidth="1"/>
    <col min="15294" max="15294" width="58.28515625" style="1" customWidth="1"/>
    <col min="15295" max="15296" width="1" style="1" customWidth="1"/>
    <col min="15297" max="15297" width="16.85546875" style="1" customWidth="1"/>
    <col min="15298" max="15299" width="1" style="1" customWidth="1"/>
    <col min="15300" max="15344" width="0" style="1" hidden="1" customWidth="1"/>
    <col min="15345" max="15346" width="1" style="1" customWidth="1"/>
    <col min="15347" max="15347" width="17.85546875" style="1" customWidth="1"/>
    <col min="15348" max="15349" width="1" style="1" customWidth="1"/>
    <col min="15350" max="15359" width="0" style="1" hidden="1" customWidth="1"/>
    <col min="15360" max="15361" width="1" style="1" customWidth="1"/>
    <col min="15362" max="15362" width="16.140625" style="1" customWidth="1"/>
    <col min="15363" max="15366" width="1" style="1" customWidth="1"/>
    <col min="15367" max="15367" width="15.140625" style="1" customWidth="1"/>
    <col min="15368" max="15369" width="1" style="1" customWidth="1"/>
    <col min="15370" max="15414" width="0" style="1" hidden="1" customWidth="1"/>
    <col min="15415" max="15416" width="1" style="1" customWidth="1"/>
    <col min="15417" max="15417" width="17.85546875" style="1" customWidth="1"/>
    <col min="15418" max="15419" width="1" style="1" customWidth="1"/>
    <col min="15420" max="15429" width="0" style="1" hidden="1" customWidth="1"/>
    <col min="15430" max="15431" width="1" style="1" customWidth="1"/>
    <col min="15432" max="15432" width="15.7109375" style="1" customWidth="1"/>
    <col min="15433" max="15434" width="1" style="1" customWidth="1"/>
    <col min="15435" max="15435" width="0.7109375" style="1" customWidth="1"/>
    <col min="15436" max="15436" width="3.28515625" style="1" customWidth="1"/>
    <col min="15437" max="15437" width="10" style="1"/>
    <col min="15438" max="15438" width="10.42578125" style="1" bestFit="1" customWidth="1"/>
    <col min="15439" max="15546" width="10" style="1"/>
    <col min="15547" max="15547" width="1.85546875" style="1" customWidth="1"/>
    <col min="15548" max="15548" width="1" style="1" customWidth="1"/>
    <col min="15549" max="15549" width="0.85546875" style="1" customWidth="1"/>
    <col min="15550" max="15550" width="58.28515625" style="1" customWidth="1"/>
    <col min="15551" max="15552" width="1" style="1" customWidth="1"/>
    <col min="15553" max="15553" width="16.85546875" style="1" customWidth="1"/>
    <col min="15554" max="15555" width="1" style="1" customWidth="1"/>
    <col min="15556" max="15600" width="0" style="1" hidden="1" customWidth="1"/>
    <col min="15601" max="15602" width="1" style="1" customWidth="1"/>
    <col min="15603" max="15603" width="17.85546875" style="1" customWidth="1"/>
    <col min="15604" max="15605" width="1" style="1" customWidth="1"/>
    <col min="15606" max="15615" width="0" style="1" hidden="1" customWidth="1"/>
    <col min="15616" max="15617" width="1" style="1" customWidth="1"/>
    <col min="15618" max="15618" width="16.140625" style="1" customWidth="1"/>
    <col min="15619" max="15622" width="1" style="1" customWidth="1"/>
    <col min="15623" max="15623" width="15.140625" style="1" customWidth="1"/>
    <col min="15624" max="15625" width="1" style="1" customWidth="1"/>
    <col min="15626" max="15670" width="0" style="1" hidden="1" customWidth="1"/>
    <col min="15671" max="15672" width="1" style="1" customWidth="1"/>
    <col min="15673" max="15673" width="17.85546875" style="1" customWidth="1"/>
    <col min="15674" max="15675" width="1" style="1" customWidth="1"/>
    <col min="15676" max="15685" width="0" style="1" hidden="1" customWidth="1"/>
    <col min="15686" max="15687" width="1" style="1" customWidth="1"/>
    <col min="15688" max="15688" width="15.7109375" style="1" customWidth="1"/>
    <col min="15689" max="15690" width="1" style="1" customWidth="1"/>
    <col min="15691" max="15691" width="0.7109375" style="1" customWidth="1"/>
    <col min="15692" max="15692" width="3.28515625" style="1" customWidth="1"/>
    <col min="15693" max="15693" width="10" style="1"/>
    <col min="15694" max="15694" width="10.42578125" style="1" bestFit="1" customWidth="1"/>
    <col min="15695" max="15802" width="10" style="1"/>
    <col min="15803" max="15803" width="1.85546875" style="1" customWidth="1"/>
    <col min="15804" max="15804" width="1" style="1" customWidth="1"/>
    <col min="15805" max="15805" width="0.85546875" style="1" customWidth="1"/>
    <col min="15806" max="15806" width="58.28515625" style="1" customWidth="1"/>
    <col min="15807" max="15808" width="1" style="1" customWidth="1"/>
    <col min="15809" max="15809" width="16.85546875" style="1" customWidth="1"/>
    <col min="15810" max="15811" width="1" style="1" customWidth="1"/>
    <col min="15812" max="15856" width="0" style="1" hidden="1" customWidth="1"/>
    <col min="15857" max="15858" width="1" style="1" customWidth="1"/>
    <col min="15859" max="15859" width="17.85546875" style="1" customWidth="1"/>
    <col min="15860" max="15861" width="1" style="1" customWidth="1"/>
    <col min="15862" max="15871" width="0" style="1" hidden="1" customWidth="1"/>
    <col min="15872" max="15873" width="1" style="1" customWidth="1"/>
    <col min="15874" max="15874" width="16.140625" style="1" customWidth="1"/>
    <col min="15875" max="15878" width="1" style="1" customWidth="1"/>
    <col min="15879" max="15879" width="15.140625" style="1" customWidth="1"/>
    <col min="15880" max="15881" width="1" style="1" customWidth="1"/>
    <col min="15882" max="15926" width="0" style="1" hidden="1" customWidth="1"/>
    <col min="15927" max="15928" width="1" style="1" customWidth="1"/>
    <col min="15929" max="15929" width="17.85546875" style="1" customWidth="1"/>
    <col min="15930" max="15931" width="1" style="1" customWidth="1"/>
    <col min="15932" max="15941" width="0" style="1" hidden="1" customWidth="1"/>
    <col min="15942" max="15943" width="1" style="1" customWidth="1"/>
    <col min="15944" max="15944" width="15.7109375" style="1" customWidth="1"/>
    <col min="15945" max="15946" width="1" style="1" customWidth="1"/>
    <col min="15947" max="15947" width="0.7109375" style="1" customWidth="1"/>
    <col min="15948" max="15948" width="3.28515625" style="1" customWidth="1"/>
    <col min="15949" max="15949" width="10" style="1"/>
    <col min="15950" max="15950" width="10.42578125" style="1" bestFit="1" customWidth="1"/>
    <col min="15951" max="16058" width="10" style="1"/>
    <col min="16059" max="16059" width="1.85546875" style="1" customWidth="1"/>
    <col min="16060" max="16060" width="1" style="1" customWidth="1"/>
    <col min="16061" max="16061" width="0.85546875" style="1" customWidth="1"/>
    <col min="16062" max="16062" width="58.28515625" style="1" customWidth="1"/>
    <col min="16063" max="16064" width="1" style="1" customWidth="1"/>
    <col min="16065" max="16065" width="16.85546875" style="1" customWidth="1"/>
    <col min="16066" max="16067" width="1" style="1" customWidth="1"/>
    <col min="16068" max="16112" width="0" style="1" hidden="1" customWidth="1"/>
    <col min="16113" max="16114" width="1" style="1" customWidth="1"/>
    <col min="16115" max="16115" width="17.85546875" style="1" customWidth="1"/>
    <col min="16116" max="16117" width="1" style="1" customWidth="1"/>
    <col min="16118" max="16127" width="0" style="1" hidden="1" customWidth="1"/>
    <col min="16128" max="16129" width="1" style="1" customWidth="1"/>
    <col min="16130" max="16130" width="16.140625" style="1" customWidth="1"/>
    <col min="16131" max="16134" width="1" style="1" customWidth="1"/>
    <col min="16135" max="16135" width="15.140625" style="1" customWidth="1"/>
    <col min="16136" max="16137" width="1" style="1" customWidth="1"/>
    <col min="16138" max="16182" width="0" style="1" hidden="1" customWidth="1"/>
    <col min="16183" max="16184" width="1" style="1" customWidth="1"/>
    <col min="16185" max="16185" width="17.85546875" style="1" customWidth="1"/>
    <col min="16186" max="16187" width="1" style="1" customWidth="1"/>
    <col min="16188" max="16197" width="0" style="1" hidden="1" customWidth="1"/>
    <col min="16198" max="16199" width="1" style="1" customWidth="1"/>
    <col min="16200" max="16200" width="15.7109375" style="1" customWidth="1"/>
    <col min="16201" max="16202" width="1" style="1" customWidth="1"/>
    <col min="16203" max="16203" width="0.7109375" style="1" customWidth="1"/>
    <col min="16204" max="16204" width="3.28515625" style="1" customWidth="1"/>
    <col min="16205" max="16205" width="10" style="1"/>
    <col min="16206" max="16206" width="10.42578125" style="1" bestFit="1" customWidth="1"/>
    <col min="16207" max="16384" width="10" style="1"/>
  </cols>
  <sheetData>
    <row r="1" spans="3:75" x14ac:dyDescent="0.2">
      <c r="M1" s="1">
        <f>1770000000+11234076861+1105000000</f>
        <v>14109076861</v>
      </c>
    </row>
    <row r="2" spans="3:75" ht="6" customHeight="1" x14ac:dyDescent="0.2"/>
    <row r="4" spans="3:75" x14ac:dyDescent="0.2">
      <c r="D4" s="10"/>
      <c r="E4" s="10"/>
      <c r="F4" s="10"/>
    </row>
    <row r="7" spans="3:75" ht="15.75" x14ac:dyDescent="0.25">
      <c r="D7" s="348" t="s">
        <v>440</v>
      </c>
      <c r="E7" s="348"/>
      <c r="F7" s="348"/>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row>
    <row r="8" spans="3:75" x14ac:dyDescent="0.2">
      <c r="C8" s="151"/>
      <c r="D8" s="79"/>
      <c r="E8" s="349"/>
      <c r="F8" s="350"/>
      <c r="G8" s="616" t="str">
        <f>[54]summary!H8</f>
        <v>2020/21</v>
      </c>
      <c r="H8" s="616"/>
      <c r="I8" s="616"/>
      <c r="J8" s="616"/>
      <c r="K8" s="616"/>
      <c r="L8" s="632"/>
      <c r="M8" s="632"/>
      <c r="N8" s="632"/>
      <c r="O8" s="632"/>
      <c r="P8" s="632"/>
      <c r="Q8" s="632"/>
      <c r="R8" s="632"/>
      <c r="S8" s="632"/>
      <c r="T8" s="632"/>
      <c r="U8" s="632"/>
      <c r="V8" s="632"/>
      <c r="W8" s="632"/>
      <c r="X8" s="632"/>
      <c r="Y8" s="632"/>
      <c r="Z8" s="632"/>
      <c r="AA8" s="632"/>
      <c r="AB8" s="632"/>
      <c r="AC8" s="632"/>
      <c r="AD8" s="632"/>
      <c r="AE8" s="632"/>
      <c r="AF8" s="632"/>
      <c r="AG8" s="632"/>
      <c r="AH8" s="632"/>
      <c r="AI8" s="632"/>
      <c r="AJ8" s="632"/>
      <c r="AK8" s="632"/>
      <c r="AL8" s="632"/>
      <c r="AM8" s="632"/>
      <c r="AN8" s="632"/>
      <c r="AO8" s="632"/>
      <c r="AP8" s="632"/>
      <c r="AQ8" s="632"/>
      <c r="AR8" s="632"/>
      <c r="AS8" s="632"/>
      <c r="AT8" s="632"/>
      <c r="AU8" s="632"/>
      <c r="AV8" s="632"/>
      <c r="AW8" s="632"/>
      <c r="AX8" s="632"/>
      <c r="AY8" s="632"/>
      <c r="AZ8" s="632"/>
      <c r="BA8" s="632"/>
      <c r="BB8" s="632"/>
      <c r="BC8" s="632"/>
      <c r="BD8" s="632"/>
      <c r="BE8" s="632"/>
      <c r="BF8" s="632"/>
      <c r="BG8" s="632"/>
      <c r="BH8" s="632"/>
      <c r="BI8" s="632"/>
      <c r="BJ8" s="632"/>
      <c r="BK8" s="632"/>
      <c r="BL8" s="632"/>
      <c r="BM8" s="632"/>
      <c r="BN8" s="632"/>
      <c r="BO8" s="632"/>
      <c r="BP8" s="632"/>
      <c r="BQ8" s="632"/>
      <c r="BR8" s="632"/>
      <c r="BS8" s="632"/>
      <c r="BT8" s="632"/>
      <c r="BU8" s="301"/>
      <c r="BV8" s="301"/>
      <c r="BW8" s="9"/>
    </row>
    <row r="9" spans="3:75" ht="18" customHeight="1" x14ac:dyDescent="0.2">
      <c r="D9" s="9"/>
      <c r="E9" s="156"/>
      <c r="G9" s="19" t="str">
        <f>[54]domredemp!G9</f>
        <v>Revised</v>
      </c>
      <c r="H9" s="19"/>
      <c r="I9" s="19"/>
      <c r="J9" s="36"/>
      <c r="K9" s="19"/>
      <c r="L9" s="19" t="s">
        <v>4</v>
      </c>
      <c r="M9" s="19"/>
      <c r="N9" s="19"/>
      <c r="O9" s="36"/>
      <c r="P9" s="19"/>
      <c r="Q9" s="19" t="s">
        <v>5</v>
      </c>
      <c r="R9" s="19"/>
      <c r="S9" s="19"/>
      <c r="T9" s="36"/>
      <c r="U9" s="19"/>
      <c r="V9" s="19" t="s">
        <v>6</v>
      </c>
      <c r="W9" s="19"/>
      <c r="X9" s="19"/>
      <c r="Y9" s="36"/>
      <c r="Z9" s="19"/>
      <c r="AA9" s="19" t="s">
        <v>7</v>
      </c>
      <c r="AB9" s="19"/>
      <c r="AC9" s="19"/>
      <c r="AD9" s="36"/>
      <c r="AE9" s="19"/>
      <c r="AF9" s="19" t="s">
        <v>8</v>
      </c>
      <c r="AG9" s="19"/>
      <c r="AH9" s="19"/>
      <c r="AI9" s="36"/>
      <c r="AJ9" s="19"/>
      <c r="AK9" s="19" t="s">
        <v>9</v>
      </c>
      <c r="AL9" s="19"/>
      <c r="AM9" s="19"/>
      <c r="AN9" s="36"/>
      <c r="AO9" s="19"/>
      <c r="AP9" s="19" t="s">
        <v>10</v>
      </c>
      <c r="AQ9" s="19"/>
      <c r="AR9" s="19"/>
      <c r="AS9" s="36"/>
      <c r="AT9" s="19"/>
      <c r="AU9" s="19" t="s">
        <v>11</v>
      </c>
      <c r="AV9" s="19"/>
      <c r="AW9" s="19"/>
      <c r="AX9" s="36"/>
      <c r="AY9" s="19"/>
      <c r="AZ9" s="19" t="s">
        <v>12</v>
      </c>
      <c r="BA9" s="19"/>
      <c r="BB9" s="19"/>
      <c r="BC9" s="36"/>
      <c r="BD9" s="19"/>
      <c r="BE9" s="19" t="s">
        <v>13</v>
      </c>
      <c r="BF9" s="19"/>
      <c r="BG9" s="19"/>
      <c r="BH9" s="36"/>
      <c r="BI9" s="19"/>
      <c r="BJ9" s="19" t="s">
        <v>14</v>
      </c>
      <c r="BK9" s="19"/>
      <c r="BL9" s="19"/>
      <c r="BM9" s="36"/>
      <c r="BN9" s="19"/>
      <c r="BO9" s="19" t="s">
        <v>15</v>
      </c>
      <c r="BP9" s="19"/>
      <c r="BQ9" s="19"/>
      <c r="BR9" s="36"/>
      <c r="BS9" s="19"/>
      <c r="BT9" s="19" t="s">
        <v>16</v>
      </c>
      <c r="BU9" s="19"/>
      <c r="BV9" s="19"/>
      <c r="BW9" s="9"/>
    </row>
    <row r="10" spans="3:75" x14ac:dyDescent="0.2">
      <c r="D10" s="300" t="s">
        <v>17</v>
      </c>
      <c r="E10" s="353"/>
      <c r="F10" s="354"/>
      <c r="G10" s="89" t="s">
        <v>18</v>
      </c>
      <c r="H10" s="89"/>
      <c r="I10" s="89"/>
      <c r="J10" s="302"/>
      <c r="K10" s="89"/>
      <c r="L10" s="301"/>
      <c r="M10" s="301"/>
      <c r="N10" s="301"/>
      <c r="O10" s="355"/>
      <c r="P10" s="301"/>
      <c r="Q10" s="301"/>
      <c r="R10" s="301"/>
      <c r="S10" s="301"/>
      <c r="T10" s="355"/>
      <c r="U10" s="301"/>
      <c r="V10" s="301"/>
      <c r="W10" s="301"/>
      <c r="X10" s="301"/>
      <c r="Y10" s="355"/>
      <c r="Z10" s="301"/>
      <c r="AA10" s="301"/>
      <c r="AB10" s="301"/>
      <c r="AC10" s="301"/>
      <c r="AD10" s="355"/>
      <c r="AE10" s="301"/>
      <c r="AF10" s="301"/>
      <c r="AG10" s="301"/>
      <c r="AH10" s="301"/>
      <c r="AI10" s="355"/>
      <c r="AJ10" s="301"/>
      <c r="AK10" s="301"/>
      <c r="AL10" s="301"/>
      <c r="AM10" s="301"/>
      <c r="AN10" s="355"/>
      <c r="AO10" s="301"/>
      <c r="AP10" s="301"/>
      <c r="AQ10" s="301"/>
      <c r="AR10" s="301"/>
      <c r="AS10" s="355"/>
      <c r="AT10" s="301"/>
      <c r="AU10" s="301"/>
      <c r="AV10" s="301"/>
      <c r="AW10" s="301"/>
      <c r="AX10" s="355"/>
      <c r="AY10" s="301"/>
      <c r="AZ10" s="301"/>
      <c r="BA10" s="301"/>
      <c r="BB10" s="301"/>
      <c r="BC10" s="355"/>
      <c r="BD10" s="301"/>
      <c r="BE10" s="301"/>
      <c r="BF10" s="301"/>
      <c r="BG10" s="301"/>
      <c r="BH10" s="355"/>
      <c r="BI10" s="301"/>
      <c r="BJ10" s="301"/>
      <c r="BK10" s="301"/>
      <c r="BL10" s="301"/>
      <c r="BM10" s="355"/>
      <c r="BN10" s="301"/>
      <c r="BO10" s="301"/>
      <c r="BP10" s="301"/>
      <c r="BQ10" s="301"/>
      <c r="BR10" s="355"/>
      <c r="BS10" s="301"/>
      <c r="BT10" s="301"/>
      <c r="BU10" s="301"/>
      <c r="BV10" s="301"/>
      <c r="BW10" s="9"/>
    </row>
    <row r="11" spans="3:75" x14ac:dyDescent="0.2">
      <c r="D11" s="9"/>
      <c r="E11" s="156"/>
      <c r="J11" s="156"/>
      <c r="O11" s="156"/>
      <c r="T11" s="156"/>
      <c r="Y11" s="156"/>
      <c r="AD11" s="156"/>
      <c r="AI11" s="156"/>
      <c r="AN11" s="156"/>
      <c r="AS11" s="156"/>
      <c r="AX11" s="156"/>
      <c r="BC11" s="156"/>
      <c r="BH11" s="156"/>
      <c r="BM11" s="156"/>
      <c r="BR11" s="156"/>
      <c r="BW11" s="9"/>
    </row>
    <row r="12" spans="3:75" x14ac:dyDescent="0.2">
      <c r="D12" s="79" t="s">
        <v>441</v>
      </c>
      <c r="E12" s="156"/>
      <c r="G12" s="368">
        <f>SUM(G13:G15)</f>
        <v>121373000</v>
      </c>
      <c r="H12" s="373"/>
      <c r="I12" s="373"/>
      <c r="J12" s="374"/>
      <c r="L12" s="368">
        <f>SUM(L13:L15)</f>
        <v>0</v>
      </c>
      <c r="M12" s="373"/>
      <c r="N12" s="373"/>
      <c r="O12" s="374"/>
      <c r="Q12" s="368">
        <f>SUM(Q13:Q15)</f>
        <v>0</v>
      </c>
      <c r="R12" s="373"/>
      <c r="S12" s="373"/>
      <c r="T12" s="374"/>
      <c r="V12" s="368">
        <f>SUM(V13:V15)</f>
        <v>0</v>
      </c>
      <c r="W12" s="373"/>
      <c r="X12" s="373"/>
      <c r="Y12" s="374"/>
      <c r="AA12" s="368">
        <f>SUM(AA13:AA15)</f>
        <v>86911584</v>
      </c>
      <c r="AB12" s="373"/>
      <c r="AC12" s="373"/>
      <c r="AD12" s="374"/>
      <c r="AF12" s="368">
        <f>SUM(AF13:AF15)</f>
        <v>0</v>
      </c>
      <c r="AG12" s="373"/>
      <c r="AH12" s="373"/>
      <c r="AI12" s="374"/>
      <c r="AK12" s="368">
        <f>SUM(AK13:AK15)</f>
        <v>0</v>
      </c>
      <c r="AL12" s="373"/>
      <c r="AM12" s="373"/>
      <c r="AN12" s="374"/>
      <c r="AP12" s="368">
        <f>SUM(AP13:AP15)</f>
        <v>5008164</v>
      </c>
      <c r="AQ12" s="373"/>
      <c r="AR12" s="373"/>
      <c r="AS12" s="374"/>
      <c r="AU12" s="368">
        <f>SUM(AU13:AU15)</f>
        <v>0</v>
      </c>
      <c r="AV12" s="373"/>
      <c r="AW12" s="373"/>
      <c r="AX12" s="374"/>
      <c r="AZ12" s="368">
        <f>SUM(AZ13:AZ15)</f>
        <v>0</v>
      </c>
      <c r="BA12" s="373"/>
      <c r="BB12" s="373"/>
      <c r="BC12" s="374"/>
      <c r="BE12" s="368">
        <f>SUM(BE13:BE15)</f>
        <v>0</v>
      </c>
      <c r="BF12" s="373"/>
      <c r="BG12" s="373"/>
      <c r="BH12" s="374"/>
      <c r="BJ12" s="368">
        <f>SUM(BJ13:BJ15)</f>
        <v>0</v>
      </c>
      <c r="BK12" s="373"/>
      <c r="BL12" s="373"/>
      <c r="BM12" s="374"/>
      <c r="BO12" s="368">
        <f>SUM(BO13:BO15)</f>
        <v>0</v>
      </c>
      <c r="BP12" s="373"/>
      <c r="BQ12" s="373"/>
      <c r="BR12" s="374"/>
      <c r="BT12" s="368">
        <f>SUM(BT13:BT15)</f>
        <v>91919748</v>
      </c>
      <c r="BU12" s="373"/>
      <c r="BV12" s="373"/>
      <c r="BW12" s="9"/>
    </row>
    <row r="13" spans="3:75" x14ac:dyDescent="0.2">
      <c r="D13" s="9" t="s">
        <v>442</v>
      </c>
      <c r="E13" s="156"/>
      <c r="F13" s="375"/>
      <c r="G13" s="371">
        <f>G17</f>
        <v>121373000</v>
      </c>
      <c r="H13" s="372"/>
      <c r="I13" s="373"/>
      <c r="J13" s="374"/>
      <c r="K13" s="375"/>
      <c r="L13" s="371">
        <f>L17</f>
        <v>0</v>
      </c>
      <c r="M13" s="372"/>
      <c r="N13" s="373"/>
      <c r="O13" s="374"/>
      <c r="P13" s="375"/>
      <c r="Q13" s="371">
        <f>Q17</f>
        <v>0</v>
      </c>
      <c r="R13" s="372"/>
      <c r="S13" s="373"/>
      <c r="T13" s="374"/>
      <c r="U13" s="375"/>
      <c r="V13" s="371">
        <f>V17</f>
        <v>0</v>
      </c>
      <c r="W13" s="372"/>
      <c r="X13" s="373"/>
      <c r="Y13" s="374"/>
      <c r="Z13" s="375"/>
      <c r="AA13" s="371">
        <f>AA17</f>
        <v>86911584</v>
      </c>
      <c r="AB13" s="372"/>
      <c r="AC13" s="373"/>
      <c r="AD13" s="374"/>
      <c r="AE13" s="375"/>
      <c r="AF13" s="371">
        <f>AF17</f>
        <v>0</v>
      </c>
      <c r="AG13" s="372"/>
      <c r="AH13" s="373"/>
      <c r="AI13" s="374"/>
      <c r="AJ13" s="375"/>
      <c r="AK13" s="371">
        <f>AK17</f>
        <v>0</v>
      </c>
      <c r="AL13" s="372"/>
      <c r="AM13" s="373"/>
      <c r="AN13" s="374"/>
      <c r="AO13" s="375"/>
      <c r="AP13" s="371">
        <f>AP17</f>
        <v>5008164</v>
      </c>
      <c r="AQ13" s="372"/>
      <c r="AR13" s="373"/>
      <c r="AS13" s="374"/>
      <c r="AT13" s="375"/>
      <c r="AU13" s="371">
        <f>AU17</f>
        <v>0</v>
      </c>
      <c r="AV13" s="372"/>
      <c r="AW13" s="373"/>
      <c r="AX13" s="374"/>
      <c r="AY13" s="375"/>
      <c r="AZ13" s="371">
        <f>AZ17</f>
        <v>0</v>
      </c>
      <c r="BA13" s="372"/>
      <c r="BB13" s="373"/>
      <c r="BC13" s="374"/>
      <c r="BD13" s="375"/>
      <c r="BE13" s="371">
        <f>BE17</f>
        <v>0</v>
      </c>
      <c r="BF13" s="372"/>
      <c r="BG13" s="373"/>
      <c r="BH13" s="374"/>
      <c r="BI13" s="375"/>
      <c r="BJ13" s="371">
        <f>BJ17</f>
        <v>0</v>
      </c>
      <c r="BK13" s="372"/>
      <c r="BL13" s="373"/>
      <c r="BM13" s="374"/>
      <c r="BN13" s="375"/>
      <c r="BO13" s="371">
        <f>BO17</f>
        <v>0</v>
      </c>
      <c r="BP13" s="372"/>
      <c r="BQ13" s="373"/>
      <c r="BR13" s="374"/>
      <c r="BS13" s="375"/>
      <c r="BT13" s="371">
        <f>BT17</f>
        <v>91919748</v>
      </c>
      <c r="BU13" s="372"/>
      <c r="BV13" s="373"/>
      <c r="BW13" s="9"/>
    </row>
    <row r="14" spans="3:75" x14ac:dyDescent="0.2">
      <c r="D14" s="9" t="s">
        <v>443</v>
      </c>
      <c r="E14" s="156"/>
      <c r="F14" s="374"/>
      <c r="G14" s="373">
        <f>+G62</f>
        <v>0</v>
      </c>
      <c r="H14" s="377"/>
      <c r="I14" s="373"/>
      <c r="J14" s="374"/>
      <c r="K14" s="374"/>
      <c r="L14" s="373">
        <f>L62</f>
        <v>0</v>
      </c>
      <c r="M14" s="377"/>
      <c r="N14" s="373"/>
      <c r="O14" s="374"/>
      <c r="P14" s="374"/>
      <c r="Q14" s="373">
        <f>Q62</f>
        <v>0</v>
      </c>
      <c r="R14" s="377"/>
      <c r="S14" s="373"/>
      <c r="T14" s="374"/>
      <c r="U14" s="374"/>
      <c r="V14" s="373">
        <f>V62</f>
        <v>0</v>
      </c>
      <c r="W14" s="377"/>
      <c r="X14" s="373"/>
      <c r="Y14" s="374"/>
      <c r="Z14" s="374"/>
      <c r="AA14" s="373">
        <f>AA62</f>
        <v>0</v>
      </c>
      <c r="AB14" s="377"/>
      <c r="AC14" s="373"/>
      <c r="AD14" s="374"/>
      <c r="AE14" s="374"/>
      <c r="AF14" s="373">
        <f>AF62</f>
        <v>0</v>
      </c>
      <c r="AG14" s="377"/>
      <c r="AH14" s="373"/>
      <c r="AI14" s="374"/>
      <c r="AJ14" s="374"/>
      <c r="AK14" s="373">
        <f>AK62</f>
        <v>0</v>
      </c>
      <c r="AL14" s="377"/>
      <c r="AM14" s="373"/>
      <c r="AN14" s="374"/>
      <c r="AO14" s="374"/>
      <c r="AP14" s="373">
        <f>AP62</f>
        <v>0</v>
      </c>
      <c r="AQ14" s="377"/>
      <c r="AR14" s="373"/>
      <c r="AS14" s="374"/>
      <c r="AT14" s="374"/>
      <c r="AU14" s="373">
        <f>AU62</f>
        <v>0</v>
      </c>
      <c r="AV14" s="377"/>
      <c r="AW14" s="373"/>
      <c r="AX14" s="374"/>
      <c r="AY14" s="374"/>
      <c r="AZ14" s="373">
        <f>AZ62</f>
        <v>0</v>
      </c>
      <c r="BA14" s="377"/>
      <c r="BB14" s="373"/>
      <c r="BC14" s="374"/>
      <c r="BD14" s="374"/>
      <c r="BE14" s="373">
        <f>BE62</f>
        <v>0</v>
      </c>
      <c r="BF14" s="377"/>
      <c r="BG14" s="373"/>
      <c r="BH14" s="374"/>
      <c r="BI14" s="374"/>
      <c r="BJ14" s="373">
        <f>BJ62</f>
        <v>0</v>
      </c>
      <c r="BK14" s="377"/>
      <c r="BL14" s="373"/>
      <c r="BM14" s="374"/>
      <c r="BN14" s="374"/>
      <c r="BO14" s="373">
        <f>BO62</f>
        <v>0</v>
      </c>
      <c r="BP14" s="377"/>
      <c r="BQ14" s="373"/>
      <c r="BR14" s="374"/>
      <c r="BS14" s="374"/>
      <c r="BT14" s="373">
        <f>BT62</f>
        <v>0</v>
      </c>
      <c r="BU14" s="377"/>
      <c r="BV14" s="373"/>
      <c r="BW14" s="9"/>
    </row>
    <row r="15" spans="3:75" x14ac:dyDescent="0.2">
      <c r="D15" s="9" t="s">
        <v>444</v>
      </c>
      <c r="E15" s="156"/>
      <c r="F15" s="387"/>
      <c r="G15" s="385">
        <v>0</v>
      </c>
      <c r="H15" s="386"/>
      <c r="I15" s="373"/>
      <c r="J15" s="374"/>
      <c r="K15" s="387"/>
      <c r="L15" s="385">
        <f>L72</f>
        <v>0</v>
      </c>
      <c r="M15" s="386"/>
      <c r="N15" s="373"/>
      <c r="O15" s="374"/>
      <c r="P15" s="387"/>
      <c r="Q15" s="385">
        <f>Q72</f>
        <v>0</v>
      </c>
      <c r="R15" s="386"/>
      <c r="S15" s="373"/>
      <c r="T15" s="374"/>
      <c r="U15" s="387"/>
      <c r="V15" s="385">
        <f>V72</f>
        <v>0</v>
      </c>
      <c r="W15" s="386"/>
      <c r="X15" s="373"/>
      <c r="Y15" s="374"/>
      <c r="Z15" s="387"/>
      <c r="AA15" s="385">
        <f>AA72</f>
        <v>0</v>
      </c>
      <c r="AB15" s="386"/>
      <c r="AC15" s="373"/>
      <c r="AD15" s="374"/>
      <c r="AE15" s="387"/>
      <c r="AF15" s="385">
        <f>AF72</f>
        <v>0</v>
      </c>
      <c r="AG15" s="386"/>
      <c r="AH15" s="373"/>
      <c r="AI15" s="374"/>
      <c r="AJ15" s="387"/>
      <c r="AK15" s="385">
        <f>AK72</f>
        <v>0</v>
      </c>
      <c r="AL15" s="386"/>
      <c r="AM15" s="373"/>
      <c r="AN15" s="374"/>
      <c r="AO15" s="387"/>
      <c r="AP15" s="385">
        <f>AP72</f>
        <v>0</v>
      </c>
      <c r="AQ15" s="386"/>
      <c r="AR15" s="373"/>
      <c r="AS15" s="374"/>
      <c r="AT15" s="387"/>
      <c r="AU15" s="385">
        <f>AU72</f>
        <v>0</v>
      </c>
      <c r="AV15" s="386"/>
      <c r="AW15" s="373"/>
      <c r="AX15" s="374"/>
      <c r="AY15" s="387"/>
      <c r="AZ15" s="385">
        <f>AZ72</f>
        <v>0</v>
      </c>
      <c r="BA15" s="386"/>
      <c r="BB15" s="373"/>
      <c r="BC15" s="374"/>
      <c r="BD15" s="387"/>
      <c r="BE15" s="385">
        <f>BE72</f>
        <v>0</v>
      </c>
      <c r="BF15" s="386"/>
      <c r="BG15" s="373"/>
      <c r="BH15" s="374"/>
      <c r="BI15" s="387"/>
      <c r="BJ15" s="385">
        <f>BJ72</f>
        <v>0</v>
      </c>
      <c r="BK15" s="386"/>
      <c r="BL15" s="373"/>
      <c r="BM15" s="374"/>
      <c r="BN15" s="387"/>
      <c r="BO15" s="385">
        <f>BO72</f>
        <v>0</v>
      </c>
      <c r="BP15" s="386"/>
      <c r="BQ15" s="373"/>
      <c r="BR15" s="374"/>
      <c r="BS15" s="387"/>
      <c r="BT15" s="385">
        <f>BT72</f>
        <v>0</v>
      </c>
      <c r="BU15" s="386"/>
      <c r="BV15" s="373"/>
      <c r="BW15" s="9"/>
    </row>
    <row r="16" spans="3:75" x14ac:dyDescent="0.2">
      <c r="D16" s="9"/>
      <c r="E16" s="156"/>
      <c r="G16" s="373"/>
      <c r="H16" s="373"/>
      <c r="I16" s="373"/>
      <c r="J16" s="374"/>
      <c r="K16" s="373"/>
      <c r="L16" s="373"/>
      <c r="M16" s="373"/>
      <c r="N16" s="373"/>
      <c r="O16" s="374"/>
      <c r="P16" s="373"/>
      <c r="Q16" s="373"/>
      <c r="R16" s="373"/>
      <c r="S16" s="373"/>
      <c r="T16" s="374"/>
      <c r="U16" s="373"/>
      <c r="V16" s="373"/>
      <c r="W16" s="373"/>
      <c r="X16" s="373"/>
      <c r="Y16" s="374"/>
      <c r="Z16" s="373"/>
      <c r="AA16" s="373"/>
      <c r="AB16" s="373"/>
      <c r="AC16" s="373"/>
      <c r="AD16" s="374"/>
      <c r="AE16" s="373"/>
      <c r="AF16" s="373"/>
      <c r="AG16" s="373"/>
      <c r="AH16" s="373"/>
      <c r="AI16" s="374"/>
      <c r="AJ16" s="373"/>
      <c r="AK16" s="373"/>
      <c r="AL16" s="373"/>
      <c r="AM16" s="373"/>
      <c r="AN16" s="374"/>
      <c r="AO16" s="373"/>
      <c r="AP16" s="373"/>
      <c r="AQ16" s="373"/>
      <c r="AR16" s="373"/>
      <c r="AS16" s="374"/>
      <c r="AT16" s="373"/>
      <c r="AU16" s="373"/>
      <c r="AV16" s="373"/>
      <c r="AW16" s="373"/>
      <c r="AX16" s="374"/>
      <c r="AY16" s="373"/>
      <c r="AZ16" s="373"/>
      <c r="BA16" s="373"/>
      <c r="BB16" s="373"/>
      <c r="BC16" s="374"/>
      <c r="BD16" s="373"/>
      <c r="BE16" s="373"/>
      <c r="BF16" s="373"/>
      <c r="BG16" s="373"/>
      <c r="BH16" s="374"/>
      <c r="BI16" s="373"/>
      <c r="BJ16" s="373"/>
      <c r="BK16" s="373"/>
      <c r="BL16" s="373"/>
      <c r="BM16" s="374"/>
      <c r="BN16" s="373"/>
      <c r="BO16" s="373"/>
      <c r="BP16" s="373"/>
      <c r="BQ16" s="373"/>
      <c r="BR16" s="374"/>
      <c r="BS16" s="373"/>
      <c r="BT16" s="373"/>
      <c r="BU16" s="373"/>
      <c r="BV16" s="373"/>
      <c r="BW16" s="9"/>
    </row>
    <row r="17" spans="4:78" s="10" customFormat="1" x14ac:dyDescent="0.2">
      <c r="D17" s="79" t="s">
        <v>445</v>
      </c>
      <c r="E17" s="145"/>
      <c r="G17" s="368">
        <f>SUM(G18:G20)</f>
        <v>121373000</v>
      </c>
      <c r="H17" s="368"/>
      <c r="I17" s="368"/>
      <c r="J17" s="369"/>
      <c r="K17" s="368"/>
      <c r="L17" s="368">
        <f>SUM(L18:L20)</f>
        <v>0</v>
      </c>
      <c r="M17" s="368"/>
      <c r="N17" s="368"/>
      <c r="O17" s="369"/>
      <c r="P17" s="368"/>
      <c r="Q17" s="368">
        <f>SUM(Q18:Q20)</f>
        <v>0</v>
      </c>
      <c r="R17" s="368"/>
      <c r="S17" s="368"/>
      <c r="T17" s="369"/>
      <c r="U17" s="368"/>
      <c r="V17" s="368">
        <f>SUM(V18:V20)</f>
        <v>0</v>
      </c>
      <c r="W17" s="368"/>
      <c r="X17" s="368"/>
      <c r="Y17" s="369"/>
      <c r="Z17" s="368"/>
      <c r="AA17" s="368">
        <f>SUM(AA18:AA20)</f>
        <v>86911584</v>
      </c>
      <c r="AB17" s="368"/>
      <c r="AC17" s="368"/>
      <c r="AD17" s="369"/>
      <c r="AE17" s="368"/>
      <c r="AF17" s="368">
        <f>SUM(AF18:AF20)</f>
        <v>0</v>
      </c>
      <c r="AG17" s="368"/>
      <c r="AH17" s="368"/>
      <c r="AI17" s="369"/>
      <c r="AJ17" s="368"/>
      <c r="AK17" s="368">
        <f>SUM(AK18:AK20)</f>
        <v>0</v>
      </c>
      <c r="AL17" s="368"/>
      <c r="AM17" s="368"/>
      <c r="AN17" s="369"/>
      <c r="AO17" s="368"/>
      <c r="AP17" s="368">
        <f>SUM(AP18:AP20)</f>
        <v>5008164</v>
      </c>
      <c r="AQ17" s="368"/>
      <c r="AR17" s="368"/>
      <c r="AS17" s="369"/>
      <c r="AT17" s="368"/>
      <c r="AU17" s="368">
        <f>SUM(AU18:AU20)</f>
        <v>0</v>
      </c>
      <c r="AV17" s="368"/>
      <c r="AW17" s="368"/>
      <c r="AX17" s="369"/>
      <c r="AY17" s="368"/>
      <c r="AZ17" s="368">
        <f>SUM(AZ18:AZ20)</f>
        <v>0</v>
      </c>
      <c r="BA17" s="368"/>
      <c r="BB17" s="368"/>
      <c r="BC17" s="369"/>
      <c r="BD17" s="368"/>
      <c r="BE17" s="368">
        <f>SUM(BE18:BE20)</f>
        <v>0</v>
      </c>
      <c r="BF17" s="368"/>
      <c r="BG17" s="368"/>
      <c r="BH17" s="369"/>
      <c r="BI17" s="368"/>
      <c r="BJ17" s="368">
        <f>SUM(BJ18:BJ20)</f>
        <v>0</v>
      </c>
      <c r="BK17" s="368"/>
      <c r="BL17" s="368"/>
      <c r="BM17" s="369"/>
      <c r="BN17" s="368"/>
      <c r="BO17" s="368">
        <f>SUM(BO18:BO20)</f>
        <v>0</v>
      </c>
      <c r="BP17" s="368"/>
      <c r="BQ17" s="368"/>
      <c r="BR17" s="369"/>
      <c r="BS17" s="368"/>
      <c r="BT17" s="368">
        <f>SUM(BT18:BT20)</f>
        <v>91919748</v>
      </c>
      <c r="BU17" s="368"/>
      <c r="BV17" s="368"/>
      <c r="BW17" s="79"/>
      <c r="BY17" s="1"/>
      <c r="BZ17" s="1"/>
    </row>
    <row r="18" spans="4:78" x14ac:dyDescent="0.2">
      <c r="D18" s="9" t="s">
        <v>343</v>
      </c>
      <c r="E18" s="156"/>
      <c r="F18" s="309"/>
      <c r="G18" s="371">
        <v>121373000</v>
      </c>
      <c r="H18" s="372"/>
      <c r="I18" s="373"/>
      <c r="J18" s="374"/>
      <c r="K18" s="375"/>
      <c r="L18" s="371">
        <f>+L38+L43+L57+L83+L88+L93+L33+L28+L23</f>
        <v>0</v>
      </c>
      <c r="M18" s="372"/>
      <c r="N18" s="373"/>
      <c r="O18" s="374"/>
      <c r="P18" s="375"/>
      <c r="Q18" s="371">
        <f>+Q38+Q43+Q57+Q83+Q88+Q93+Q33+Q28+Q23</f>
        <v>0</v>
      </c>
      <c r="R18" s="372"/>
      <c r="S18" s="373"/>
      <c r="T18" s="374"/>
      <c r="U18" s="375"/>
      <c r="V18" s="371">
        <f>+V38+V43+V57+V83+V88+V93+V33+V28+V23</f>
        <v>0</v>
      </c>
      <c r="W18" s="372"/>
      <c r="X18" s="373"/>
      <c r="Y18" s="374"/>
      <c r="Z18" s="375"/>
      <c r="AA18" s="371">
        <f>+AA38+AA43+AA57+AA83+AA88+AA93+AA33+AA28+AA23</f>
        <v>86911584</v>
      </c>
      <c r="AB18" s="372"/>
      <c r="AC18" s="373"/>
      <c r="AD18" s="374"/>
      <c r="AE18" s="375"/>
      <c r="AF18" s="371">
        <f>+AF38+AF43+AF57+AF83+AF88+AF93+AF33+AF28+AF23</f>
        <v>0</v>
      </c>
      <c r="AG18" s="372"/>
      <c r="AH18" s="373"/>
      <c r="AI18" s="374"/>
      <c r="AJ18" s="375"/>
      <c r="AK18" s="371">
        <f>+AK38+AK43+AK58+AK83+AK88+AK93+AK33+AK28+AK23</f>
        <v>0</v>
      </c>
      <c r="AL18" s="372"/>
      <c r="AM18" s="373"/>
      <c r="AN18" s="374"/>
      <c r="AO18" s="375"/>
      <c r="AP18" s="371">
        <f>+AP38+AP43+AP58+AP83+AP88+AP93+AP33+AP28+AP23</f>
        <v>5008164</v>
      </c>
      <c r="AQ18" s="372"/>
      <c r="AR18" s="373"/>
      <c r="AS18" s="374"/>
      <c r="AT18" s="375"/>
      <c r="AU18" s="371">
        <f>+AU38+AU43+AU57+AU83+AU88+AU93+AU33+AU28+AU23</f>
        <v>0</v>
      </c>
      <c r="AV18" s="372"/>
      <c r="AW18" s="373"/>
      <c r="AX18" s="374"/>
      <c r="AY18" s="375"/>
      <c r="AZ18" s="371">
        <f>+AZ38+AZ43+AZ57+AZ83+AZ88+AZ93+AZ33+AZ28+AZ23</f>
        <v>0</v>
      </c>
      <c r="BA18" s="372"/>
      <c r="BB18" s="373"/>
      <c r="BC18" s="374"/>
      <c r="BD18" s="375"/>
      <c r="BE18" s="371">
        <f>+BE38+BE43+BE57+BE83+BE88+BE93+BE33+BE28+BE23</f>
        <v>0</v>
      </c>
      <c r="BF18" s="372"/>
      <c r="BG18" s="373"/>
      <c r="BH18" s="374"/>
      <c r="BI18" s="375"/>
      <c r="BJ18" s="371">
        <f>+BJ38+BJ43+BJ57+BJ83+BJ88+BJ93+BJ33+BJ28+BJ23</f>
        <v>0</v>
      </c>
      <c r="BK18" s="372"/>
      <c r="BL18" s="373"/>
      <c r="BM18" s="374"/>
      <c r="BN18" s="375"/>
      <c r="BO18" s="371">
        <f>+BO38+BO43+BO57+BO83+BO88+BO93+BO33+BO28+BO23</f>
        <v>0</v>
      </c>
      <c r="BP18" s="372"/>
      <c r="BQ18" s="373"/>
      <c r="BR18" s="374"/>
      <c r="BS18" s="375"/>
      <c r="BT18" s="371">
        <f>+BT38+BT43+BT58+BT83+BT88+BT93+BT33+BT28+BT23</f>
        <v>91919748</v>
      </c>
      <c r="BU18" s="372"/>
      <c r="BV18" s="373"/>
      <c r="BW18" s="9"/>
    </row>
    <row r="19" spans="4:78" x14ac:dyDescent="0.2">
      <c r="D19" s="9" t="s">
        <v>345</v>
      </c>
      <c r="E19" s="156"/>
      <c r="F19" s="156"/>
      <c r="G19" s="373">
        <v>0</v>
      </c>
      <c r="H19" s="377"/>
      <c r="I19" s="373"/>
      <c r="J19" s="374"/>
      <c r="K19" s="374"/>
      <c r="L19" s="373">
        <f>+L39+L44+L84+L89+L94+L34+L29+L24</f>
        <v>0</v>
      </c>
      <c r="M19" s="377"/>
      <c r="N19" s="373"/>
      <c r="O19" s="374"/>
      <c r="P19" s="374"/>
      <c r="Q19" s="373">
        <f>+Q39+Q44+Q84+Q89+Q94+Q34+Q29+Q24</f>
        <v>0</v>
      </c>
      <c r="R19" s="377"/>
      <c r="S19" s="373"/>
      <c r="T19" s="374"/>
      <c r="U19" s="374"/>
      <c r="V19" s="373">
        <f>+V39+V44+V84+V89+V94+V34+V29+V24</f>
        <v>0</v>
      </c>
      <c r="W19" s="377"/>
      <c r="X19" s="373"/>
      <c r="Y19" s="374"/>
      <c r="Z19" s="374"/>
      <c r="AA19" s="373">
        <f>+AA39+AA44+AA84+AA89+AA94+AA34+AA29+AA24</f>
        <v>0</v>
      </c>
      <c r="AB19" s="377"/>
      <c r="AC19" s="373"/>
      <c r="AD19" s="374"/>
      <c r="AE19" s="374"/>
      <c r="AF19" s="373">
        <f>+AF39+AF44+AF84+AF89+AF94+AF34+AF29+AF24</f>
        <v>0</v>
      </c>
      <c r="AG19" s="377"/>
      <c r="AH19" s="373"/>
      <c r="AI19" s="374"/>
      <c r="AJ19" s="374"/>
      <c r="AK19" s="373">
        <f>+AK39+AK44+AK84+AK89+AK94+AK34+AK29+AK24+AK59</f>
        <v>0</v>
      </c>
      <c r="AL19" s="377"/>
      <c r="AM19" s="373"/>
      <c r="AN19" s="374"/>
      <c r="AO19" s="374"/>
      <c r="AP19" s="373">
        <f>+AP39+AP44+AP84+AP89+AP94+AP34+AP29+AP24+AP59</f>
        <v>0</v>
      </c>
      <c r="AQ19" s="377"/>
      <c r="AR19" s="373"/>
      <c r="AS19" s="374"/>
      <c r="AT19" s="374"/>
      <c r="AU19" s="373">
        <f>+AU39+AU44+AU84+AU89+AU94+AU34+AU29+AU24</f>
        <v>0</v>
      </c>
      <c r="AV19" s="377"/>
      <c r="AW19" s="373"/>
      <c r="AX19" s="374"/>
      <c r="AY19" s="374"/>
      <c r="AZ19" s="373">
        <f>+AZ39+AZ44+AZ84+AZ89+AZ94+AZ34+AZ29+AZ24</f>
        <v>0</v>
      </c>
      <c r="BA19" s="377"/>
      <c r="BB19" s="373"/>
      <c r="BC19" s="374"/>
      <c r="BD19" s="374"/>
      <c r="BE19" s="373">
        <f>+BE39+BE44+BE84+BE89+BE94+BE34+BE29+BE24</f>
        <v>0</v>
      </c>
      <c r="BF19" s="377"/>
      <c r="BG19" s="373"/>
      <c r="BH19" s="374"/>
      <c r="BI19" s="374"/>
      <c r="BJ19" s="373">
        <f>+BJ39+BJ44+BJ84+BJ89+BJ94+BJ34+BJ29+BJ24</f>
        <v>0</v>
      </c>
      <c r="BK19" s="377"/>
      <c r="BL19" s="373"/>
      <c r="BM19" s="374"/>
      <c r="BN19" s="374"/>
      <c r="BO19" s="373">
        <f>+BO39+BO44+BO84+BO89+BO94+BO34+BO29+BO24</f>
        <v>0</v>
      </c>
      <c r="BP19" s="377"/>
      <c r="BQ19" s="373"/>
      <c r="BR19" s="374"/>
      <c r="BS19" s="374"/>
      <c r="BT19" s="373">
        <f>+BT39+BT44+BT84+BT89+BT94+BT34+BT29+BT24+BT59</f>
        <v>0</v>
      </c>
      <c r="BU19" s="377"/>
      <c r="BV19" s="373"/>
      <c r="BW19" s="9"/>
    </row>
    <row r="20" spans="4:78" x14ac:dyDescent="0.2">
      <c r="D20" s="9" t="s">
        <v>353</v>
      </c>
      <c r="E20" s="156"/>
      <c r="F20" s="320"/>
      <c r="G20" s="385">
        <v>0</v>
      </c>
      <c r="H20" s="386"/>
      <c r="I20" s="373"/>
      <c r="J20" s="374"/>
      <c r="K20" s="387"/>
      <c r="L20" s="385">
        <f>+L40+L45+L85+L90+L95+L35+L30+L25</f>
        <v>0</v>
      </c>
      <c r="M20" s="386"/>
      <c r="N20" s="373"/>
      <c r="O20" s="374"/>
      <c r="P20" s="387"/>
      <c r="Q20" s="385">
        <f>+Q40+Q45+Q85+Q90+Q95+Q35+Q30+Q25</f>
        <v>0</v>
      </c>
      <c r="R20" s="386"/>
      <c r="S20" s="373"/>
      <c r="T20" s="374"/>
      <c r="U20" s="387"/>
      <c r="V20" s="385">
        <f>+V40+V45+V85+V90+V95+V35+V30+V25</f>
        <v>0</v>
      </c>
      <c r="W20" s="386"/>
      <c r="X20" s="373"/>
      <c r="Y20" s="374"/>
      <c r="Z20" s="387"/>
      <c r="AA20" s="385">
        <f>+AA40+AA45+AA85+AA90+AA95+AA35+AA30+AA25</f>
        <v>0</v>
      </c>
      <c r="AB20" s="386"/>
      <c r="AC20" s="373"/>
      <c r="AD20" s="374"/>
      <c r="AE20" s="387"/>
      <c r="AF20" s="385">
        <f>+AF40+AF45+AF85+AF90+AF95+AF35+AF30+AF25</f>
        <v>0</v>
      </c>
      <c r="AG20" s="386"/>
      <c r="AH20" s="373"/>
      <c r="AI20" s="374"/>
      <c r="AJ20" s="387"/>
      <c r="AK20" s="385">
        <f>+AK40+AK45+AK85+AK90+AK95+AK35+AK30+AK25+AK60</f>
        <v>0</v>
      </c>
      <c r="AL20" s="386"/>
      <c r="AM20" s="373"/>
      <c r="AN20" s="374"/>
      <c r="AO20" s="387"/>
      <c r="AP20" s="385">
        <f>+AP40+AP45+AP85+AP90+AP95+AP35+AP30+AP25+AP60</f>
        <v>0</v>
      </c>
      <c r="AQ20" s="386"/>
      <c r="AR20" s="373"/>
      <c r="AS20" s="374"/>
      <c r="AT20" s="387"/>
      <c r="AU20" s="385">
        <f>+AU40+AU45+AU85+AU90+AU95+AU35+AU30+AU25</f>
        <v>0</v>
      </c>
      <c r="AV20" s="386"/>
      <c r="AW20" s="373"/>
      <c r="AX20" s="374"/>
      <c r="AY20" s="387"/>
      <c r="AZ20" s="385">
        <f>+AZ40+AZ45+AZ85+AZ90+AZ95+AZ35+AZ30+AZ25</f>
        <v>0</v>
      </c>
      <c r="BA20" s="386"/>
      <c r="BB20" s="373"/>
      <c r="BC20" s="374"/>
      <c r="BD20" s="387"/>
      <c r="BE20" s="385">
        <f>+BE40+BE45+BE85+BE90+BE95+BE35+BE30+BE25</f>
        <v>0</v>
      </c>
      <c r="BF20" s="386"/>
      <c r="BG20" s="373"/>
      <c r="BH20" s="374"/>
      <c r="BI20" s="387"/>
      <c r="BJ20" s="385">
        <f>+BJ40+BJ45+BJ85+BJ90+BJ95+BJ35+BJ30+BJ25</f>
        <v>0</v>
      </c>
      <c r="BK20" s="386"/>
      <c r="BL20" s="373"/>
      <c r="BM20" s="374"/>
      <c r="BN20" s="387"/>
      <c r="BO20" s="385">
        <f>+BO40+BO45+BO85+BO90+BO95+BO35+BO30+BO25</f>
        <v>0</v>
      </c>
      <c r="BP20" s="386"/>
      <c r="BQ20" s="373"/>
      <c r="BR20" s="374"/>
      <c r="BS20" s="387"/>
      <c r="BT20" s="385">
        <f>+BT40+BT45+BT85+BT90+BT95+BT35+BT30+BT25+BT60</f>
        <v>0</v>
      </c>
      <c r="BU20" s="386"/>
      <c r="BV20" s="373"/>
      <c r="BW20" s="9"/>
    </row>
    <row r="21" spans="4:78" x14ac:dyDescent="0.2">
      <c r="D21" s="9"/>
      <c r="E21" s="156"/>
      <c r="G21" s="373"/>
      <c r="H21" s="373"/>
      <c r="I21" s="373"/>
      <c r="J21" s="374"/>
      <c r="K21" s="373"/>
      <c r="L21" s="373"/>
      <c r="M21" s="373"/>
      <c r="N21" s="373"/>
      <c r="O21" s="374"/>
      <c r="P21" s="373"/>
      <c r="Q21" s="373"/>
      <c r="R21" s="373"/>
      <c r="S21" s="373"/>
      <c r="T21" s="374"/>
      <c r="U21" s="373"/>
      <c r="V21" s="373"/>
      <c r="W21" s="373"/>
      <c r="X21" s="373"/>
      <c r="Y21" s="374"/>
      <c r="Z21" s="373"/>
      <c r="AA21" s="373"/>
      <c r="AB21" s="373"/>
      <c r="AC21" s="373"/>
      <c r="AD21" s="374"/>
      <c r="AE21" s="373"/>
      <c r="AF21" s="373"/>
      <c r="AG21" s="373"/>
      <c r="AH21" s="373"/>
      <c r="AI21" s="374"/>
      <c r="AJ21" s="373"/>
      <c r="AK21" s="373"/>
      <c r="AL21" s="373"/>
      <c r="AM21" s="373"/>
      <c r="AN21" s="374"/>
      <c r="AO21" s="373"/>
      <c r="AP21" s="373"/>
      <c r="AQ21" s="373"/>
      <c r="AR21" s="373"/>
      <c r="AS21" s="374"/>
      <c r="AT21" s="373"/>
      <c r="AU21" s="373"/>
      <c r="AV21" s="373"/>
      <c r="AW21" s="373"/>
      <c r="AX21" s="374"/>
      <c r="AY21" s="373"/>
      <c r="AZ21" s="373"/>
      <c r="BA21" s="373"/>
      <c r="BB21" s="373"/>
      <c r="BC21" s="374"/>
      <c r="BD21" s="373"/>
      <c r="BE21" s="373"/>
      <c r="BF21" s="373"/>
      <c r="BG21" s="373"/>
      <c r="BH21" s="374"/>
      <c r="BI21" s="373"/>
      <c r="BJ21" s="373"/>
      <c r="BK21" s="373"/>
      <c r="BL21" s="373"/>
      <c r="BM21" s="374"/>
      <c r="BN21" s="373"/>
      <c r="BO21" s="373"/>
      <c r="BP21" s="373"/>
      <c r="BQ21" s="373"/>
      <c r="BR21" s="374"/>
      <c r="BS21" s="373"/>
      <c r="BT21" s="373"/>
      <c r="BU21" s="373"/>
      <c r="BV21" s="373"/>
      <c r="BW21" s="9"/>
    </row>
    <row r="22" spans="4:78" x14ac:dyDescent="0.2">
      <c r="D22" s="9" t="s">
        <v>446</v>
      </c>
      <c r="E22" s="156"/>
      <c r="G22" s="373">
        <f>SUM(G23:G25)</f>
        <v>0</v>
      </c>
      <c r="H22" s="373"/>
      <c r="I22" s="373"/>
      <c r="J22" s="374"/>
      <c r="K22" s="373"/>
      <c r="L22" s="373">
        <f>L23+L25</f>
        <v>0</v>
      </c>
      <c r="M22" s="373"/>
      <c r="N22" s="373"/>
      <c r="O22" s="374"/>
      <c r="P22" s="373"/>
      <c r="Q22" s="373">
        <f>Q23+Q25</f>
        <v>0</v>
      </c>
      <c r="R22" s="373"/>
      <c r="S22" s="373"/>
      <c r="T22" s="374"/>
      <c r="U22" s="373"/>
      <c r="V22" s="373">
        <f>V23+V25</f>
        <v>0</v>
      </c>
      <c r="W22" s="373"/>
      <c r="X22" s="373"/>
      <c r="Y22" s="374"/>
      <c r="Z22" s="373"/>
      <c r="AA22" s="373">
        <f>AA23+AA25</f>
        <v>0</v>
      </c>
      <c r="AB22" s="373"/>
      <c r="AC22" s="373"/>
      <c r="AD22" s="374"/>
      <c r="AE22" s="373"/>
      <c r="AF22" s="373">
        <f>AF23+AF25</f>
        <v>0</v>
      </c>
      <c r="AG22" s="373"/>
      <c r="AH22" s="373"/>
      <c r="AI22" s="374"/>
      <c r="AJ22" s="373"/>
      <c r="AK22" s="373">
        <f>AK23+AK25</f>
        <v>0</v>
      </c>
      <c r="AL22" s="373"/>
      <c r="AM22" s="373"/>
      <c r="AN22" s="374"/>
      <c r="AO22" s="373"/>
      <c r="AP22" s="373">
        <f>AP23+AP25</f>
        <v>0</v>
      </c>
      <c r="AQ22" s="373"/>
      <c r="AR22" s="373"/>
      <c r="AS22" s="374"/>
      <c r="AT22" s="373"/>
      <c r="AU22" s="373">
        <f>AU23+AU25</f>
        <v>0</v>
      </c>
      <c r="AV22" s="373"/>
      <c r="AW22" s="373"/>
      <c r="AX22" s="374"/>
      <c r="AY22" s="373"/>
      <c r="AZ22" s="373">
        <f>AZ23+AZ25</f>
        <v>0</v>
      </c>
      <c r="BA22" s="373"/>
      <c r="BB22" s="373"/>
      <c r="BC22" s="374"/>
      <c r="BD22" s="373"/>
      <c r="BE22" s="373">
        <f>BE23+BE25</f>
        <v>0</v>
      </c>
      <c r="BF22" s="373"/>
      <c r="BG22" s="373"/>
      <c r="BH22" s="374"/>
      <c r="BI22" s="373"/>
      <c r="BJ22" s="373">
        <f>BJ23+BJ25</f>
        <v>0</v>
      </c>
      <c r="BK22" s="373"/>
      <c r="BL22" s="373"/>
      <c r="BM22" s="374"/>
      <c r="BN22" s="373"/>
      <c r="BO22" s="373">
        <f>BO23+BO25</f>
        <v>0</v>
      </c>
      <c r="BP22" s="373"/>
      <c r="BQ22" s="373"/>
      <c r="BR22" s="374"/>
      <c r="BS22" s="373"/>
      <c r="BT22" s="373">
        <f>SUM(BT23:BT25)</f>
        <v>0</v>
      </c>
      <c r="BU22" s="373"/>
      <c r="BV22" s="373"/>
      <c r="BW22" s="9"/>
    </row>
    <row r="23" spans="4:78" x14ac:dyDescent="0.2">
      <c r="D23" s="9" t="s">
        <v>343</v>
      </c>
      <c r="E23" s="156"/>
      <c r="F23" s="309"/>
      <c r="G23" s="371">
        <v>0</v>
      </c>
      <c r="H23" s="372"/>
      <c r="I23" s="373"/>
      <c r="J23" s="374"/>
      <c r="K23" s="375"/>
      <c r="L23" s="371">
        <v>0</v>
      </c>
      <c r="M23" s="372"/>
      <c r="N23" s="373"/>
      <c r="O23" s="374"/>
      <c r="P23" s="375"/>
      <c r="Q23" s="371">
        <v>0</v>
      </c>
      <c r="R23" s="372"/>
      <c r="S23" s="373"/>
      <c r="T23" s="374"/>
      <c r="U23" s="375"/>
      <c r="V23" s="371">
        <v>0</v>
      </c>
      <c r="W23" s="372"/>
      <c r="X23" s="373"/>
      <c r="Y23" s="374"/>
      <c r="Z23" s="375"/>
      <c r="AA23" s="371">
        <v>0</v>
      </c>
      <c r="AB23" s="372"/>
      <c r="AC23" s="373"/>
      <c r="AD23" s="374"/>
      <c r="AE23" s="375"/>
      <c r="AF23" s="371">
        <v>0</v>
      </c>
      <c r="AG23" s="372"/>
      <c r="AH23" s="373"/>
      <c r="AI23" s="374"/>
      <c r="AJ23" s="375"/>
      <c r="AK23" s="371">
        <v>0</v>
      </c>
      <c r="AL23" s="372"/>
      <c r="AM23" s="373"/>
      <c r="AN23" s="374"/>
      <c r="AO23" s="375"/>
      <c r="AP23" s="371">
        <v>0</v>
      </c>
      <c r="AQ23" s="372"/>
      <c r="AR23" s="373"/>
      <c r="AS23" s="374"/>
      <c r="AT23" s="375"/>
      <c r="AU23" s="371">
        <v>0</v>
      </c>
      <c r="AV23" s="372"/>
      <c r="AW23" s="373"/>
      <c r="AX23" s="374"/>
      <c r="AY23" s="375"/>
      <c r="AZ23" s="371">
        <v>0</v>
      </c>
      <c r="BA23" s="372"/>
      <c r="BB23" s="373"/>
      <c r="BC23" s="374"/>
      <c r="BD23" s="375"/>
      <c r="BE23" s="371">
        <v>0</v>
      </c>
      <c r="BF23" s="372"/>
      <c r="BG23" s="373"/>
      <c r="BH23" s="374"/>
      <c r="BI23" s="375"/>
      <c r="BJ23" s="371">
        <v>0</v>
      </c>
      <c r="BK23" s="372"/>
      <c r="BL23" s="373"/>
      <c r="BM23" s="374"/>
      <c r="BN23" s="375"/>
      <c r="BO23" s="371">
        <v>0</v>
      </c>
      <c r="BP23" s="372"/>
      <c r="BQ23" s="373"/>
      <c r="BR23" s="374"/>
      <c r="BS23" s="375"/>
      <c r="BT23" s="371">
        <f>SUM(L23:BO23)</f>
        <v>0</v>
      </c>
      <c r="BU23" s="372"/>
      <c r="BV23" s="373"/>
      <c r="BW23" s="9"/>
    </row>
    <row r="24" spans="4:78" x14ac:dyDescent="0.2">
      <c r="D24" s="9" t="s">
        <v>345</v>
      </c>
      <c r="E24" s="156"/>
      <c r="F24" s="156"/>
      <c r="G24" s="373">
        <v>0</v>
      </c>
      <c r="H24" s="377"/>
      <c r="I24" s="373"/>
      <c r="J24" s="374"/>
      <c r="K24" s="374"/>
      <c r="L24" s="373">
        <v>0</v>
      </c>
      <c r="M24" s="377"/>
      <c r="N24" s="373"/>
      <c r="O24" s="374"/>
      <c r="P24" s="374"/>
      <c r="Q24" s="373">
        <v>0</v>
      </c>
      <c r="R24" s="377"/>
      <c r="S24" s="373"/>
      <c r="T24" s="374"/>
      <c r="U24" s="374"/>
      <c r="V24" s="373">
        <v>0</v>
      </c>
      <c r="W24" s="377"/>
      <c r="X24" s="373"/>
      <c r="Y24" s="374"/>
      <c r="Z24" s="374"/>
      <c r="AA24" s="373">
        <v>0</v>
      </c>
      <c r="AB24" s="377"/>
      <c r="AC24" s="373"/>
      <c r="AD24" s="374"/>
      <c r="AE24" s="374"/>
      <c r="AF24" s="373">
        <v>0</v>
      </c>
      <c r="AG24" s="377"/>
      <c r="AH24" s="373"/>
      <c r="AI24" s="374"/>
      <c r="AJ24" s="374"/>
      <c r="AK24" s="373">
        <v>0</v>
      </c>
      <c r="AL24" s="377"/>
      <c r="AM24" s="373"/>
      <c r="AN24" s="374"/>
      <c r="AO24" s="374"/>
      <c r="AP24" s="373">
        <v>0</v>
      </c>
      <c r="AQ24" s="377"/>
      <c r="AR24" s="373"/>
      <c r="AS24" s="374"/>
      <c r="AT24" s="374"/>
      <c r="AU24" s="373">
        <v>0</v>
      </c>
      <c r="AV24" s="377"/>
      <c r="AW24" s="373"/>
      <c r="AX24" s="374"/>
      <c r="AY24" s="374"/>
      <c r="AZ24" s="373">
        <v>0</v>
      </c>
      <c r="BA24" s="377"/>
      <c r="BB24" s="373"/>
      <c r="BC24" s="374"/>
      <c r="BD24" s="374"/>
      <c r="BE24" s="373">
        <v>0</v>
      </c>
      <c r="BF24" s="377"/>
      <c r="BG24" s="373"/>
      <c r="BH24" s="374"/>
      <c r="BI24" s="374"/>
      <c r="BJ24" s="373">
        <v>0</v>
      </c>
      <c r="BK24" s="377"/>
      <c r="BL24" s="373"/>
      <c r="BM24" s="374"/>
      <c r="BN24" s="374"/>
      <c r="BO24" s="373">
        <v>0</v>
      </c>
      <c r="BP24" s="377"/>
      <c r="BQ24" s="373"/>
      <c r="BR24" s="374"/>
      <c r="BS24" s="374"/>
      <c r="BT24" s="373">
        <f>SUM(L24:BO24)</f>
        <v>0</v>
      </c>
      <c r="BU24" s="377"/>
      <c r="BV24" s="373"/>
      <c r="BW24" s="9"/>
    </row>
    <row r="25" spans="4:78" x14ac:dyDescent="0.2">
      <c r="D25" s="9" t="s">
        <v>353</v>
      </c>
      <c r="E25" s="156"/>
      <c r="F25" s="320"/>
      <c r="G25" s="385">
        <v>0</v>
      </c>
      <c r="H25" s="386"/>
      <c r="I25" s="373"/>
      <c r="J25" s="374"/>
      <c r="K25" s="387"/>
      <c r="L25" s="385">
        <v>0</v>
      </c>
      <c r="M25" s="386"/>
      <c r="N25" s="373"/>
      <c r="O25" s="374"/>
      <c r="P25" s="387"/>
      <c r="Q25" s="385">
        <v>0</v>
      </c>
      <c r="R25" s="386"/>
      <c r="S25" s="373"/>
      <c r="T25" s="374"/>
      <c r="U25" s="387"/>
      <c r="V25" s="385">
        <v>0</v>
      </c>
      <c r="W25" s="386"/>
      <c r="X25" s="373"/>
      <c r="Y25" s="374"/>
      <c r="Z25" s="387"/>
      <c r="AA25" s="385">
        <v>0</v>
      </c>
      <c r="AB25" s="386"/>
      <c r="AC25" s="373"/>
      <c r="AD25" s="374"/>
      <c r="AE25" s="387"/>
      <c r="AF25" s="385">
        <v>0</v>
      </c>
      <c r="AG25" s="386"/>
      <c r="AH25" s="373"/>
      <c r="AI25" s="374"/>
      <c r="AJ25" s="387"/>
      <c r="AK25" s="385">
        <v>0</v>
      </c>
      <c r="AL25" s="386"/>
      <c r="AM25" s="373"/>
      <c r="AN25" s="374"/>
      <c r="AO25" s="387"/>
      <c r="AP25" s="385">
        <v>0</v>
      </c>
      <c r="AQ25" s="386"/>
      <c r="AR25" s="373"/>
      <c r="AS25" s="374"/>
      <c r="AT25" s="387"/>
      <c r="AU25" s="385">
        <v>0</v>
      </c>
      <c r="AV25" s="386"/>
      <c r="AW25" s="373"/>
      <c r="AX25" s="374"/>
      <c r="AY25" s="387"/>
      <c r="AZ25" s="385">
        <v>0</v>
      </c>
      <c r="BA25" s="386"/>
      <c r="BB25" s="373"/>
      <c r="BC25" s="374"/>
      <c r="BD25" s="387"/>
      <c r="BE25" s="385">
        <v>0</v>
      </c>
      <c r="BF25" s="386"/>
      <c r="BG25" s="373"/>
      <c r="BH25" s="374"/>
      <c r="BI25" s="387"/>
      <c r="BJ25" s="385">
        <v>0</v>
      </c>
      <c r="BK25" s="386"/>
      <c r="BL25" s="373"/>
      <c r="BM25" s="374"/>
      <c r="BN25" s="387"/>
      <c r="BO25" s="385">
        <v>0</v>
      </c>
      <c r="BP25" s="386"/>
      <c r="BQ25" s="373"/>
      <c r="BR25" s="374"/>
      <c r="BS25" s="387"/>
      <c r="BT25" s="385">
        <f>SUM(L25:BO25)</f>
        <v>0</v>
      </c>
      <c r="BU25" s="386"/>
      <c r="BV25" s="373"/>
      <c r="BW25" s="9"/>
    </row>
    <row r="26" spans="4:78" x14ac:dyDescent="0.2">
      <c r="D26" s="9"/>
      <c r="E26" s="156"/>
      <c r="G26" s="373"/>
      <c r="H26" s="373"/>
      <c r="I26" s="373"/>
      <c r="J26" s="374"/>
      <c r="K26" s="373"/>
      <c r="L26" s="373"/>
      <c r="M26" s="373"/>
      <c r="N26" s="373"/>
      <c r="O26" s="374"/>
      <c r="P26" s="373"/>
      <c r="Q26" s="373"/>
      <c r="R26" s="373"/>
      <c r="S26" s="373"/>
      <c r="T26" s="374"/>
      <c r="U26" s="373"/>
      <c r="V26" s="373"/>
      <c r="W26" s="373"/>
      <c r="X26" s="373"/>
      <c r="Y26" s="374"/>
      <c r="Z26" s="373"/>
      <c r="AA26" s="373"/>
      <c r="AB26" s="373"/>
      <c r="AC26" s="373"/>
      <c r="AD26" s="374"/>
      <c r="AE26" s="373"/>
      <c r="AF26" s="373"/>
      <c r="AG26" s="373"/>
      <c r="AH26" s="373"/>
      <c r="AI26" s="374"/>
      <c r="AJ26" s="373"/>
      <c r="AK26" s="373"/>
      <c r="AL26" s="373"/>
      <c r="AM26" s="373"/>
      <c r="AN26" s="374"/>
      <c r="AO26" s="373"/>
      <c r="AP26" s="373"/>
      <c r="AQ26" s="373"/>
      <c r="AR26" s="373"/>
      <c r="AS26" s="374"/>
      <c r="AT26" s="373"/>
      <c r="AU26" s="373"/>
      <c r="AV26" s="373"/>
      <c r="AW26" s="373"/>
      <c r="AX26" s="374"/>
      <c r="AY26" s="373"/>
      <c r="AZ26" s="373"/>
      <c r="BA26" s="373"/>
      <c r="BB26" s="373"/>
      <c r="BC26" s="374"/>
      <c r="BD26" s="373"/>
      <c r="BE26" s="373"/>
      <c r="BF26" s="373"/>
      <c r="BG26" s="373"/>
      <c r="BH26" s="374"/>
      <c r="BI26" s="373"/>
      <c r="BJ26" s="373"/>
      <c r="BK26" s="373"/>
      <c r="BL26" s="373"/>
      <c r="BM26" s="374"/>
      <c r="BN26" s="373"/>
      <c r="BO26" s="373"/>
      <c r="BP26" s="373"/>
      <c r="BQ26" s="373"/>
      <c r="BR26" s="374"/>
      <c r="BS26" s="373"/>
      <c r="BT26" s="373"/>
      <c r="BU26" s="373"/>
      <c r="BV26" s="373"/>
      <c r="BW26" s="9"/>
    </row>
    <row r="27" spans="4:78" x14ac:dyDescent="0.2">
      <c r="D27" s="9" t="s">
        <v>447</v>
      </c>
      <c r="E27" s="156"/>
      <c r="G27" s="373">
        <f>SUM(G28:G30)</f>
        <v>0</v>
      </c>
      <c r="H27" s="373"/>
      <c r="I27" s="373"/>
      <c r="J27" s="374"/>
      <c r="K27" s="373"/>
      <c r="L27" s="373">
        <f>L28+L30</f>
        <v>0</v>
      </c>
      <c r="M27" s="373"/>
      <c r="N27" s="373"/>
      <c r="O27" s="374"/>
      <c r="P27" s="373"/>
      <c r="Q27" s="373">
        <f>Q28+Q30</f>
        <v>0</v>
      </c>
      <c r="R27" s="373"/>
      <c r="S27" s="373"/>
      <c r="T27" s="374"/>
      <c r="U27" s="373"/>
      <c r="V27" s="373">
        <f>V28+V30</f>
        <v>0</v>
      </c>
      <c r="W27" s="373"/>
      <c r="X27" s="373"/>
      <c r="Y27" s="374"/>
      <c r="Z27" s="373"/>
      <c r="AA27" s="373">
        <f>AA28+AA30</f>
        <v>0</v>
      </c>
      <c r="AB27" s="373"/>
      <c r="AC27" s="373"/>
      <c r="AD27" s="374"/>
      <c r="AE27" s="373"/>
      <c r="AF27" s="373">
        <f>AF28+AF30</f>
        <v>0</v>
      </c>
      <c r="AG27" s="373"/>
      <c r="AH27" s="373"/>
      <c r="AI27" s="374"/>
      <c r="AJ27" s="373"/>
      <c r="AK27" s="373">
        <f>AK28+AK30</f>
        <v>0</v>
      </c>
      <c r="AL27" s="373"/>
      <c r="AM27" s="373"/>
      <c r="AN27" s="374"/>
      <c r="AO27" s="373"/>
      <c r="AP27" s="373">
        <f>AP28+AP30</f>
        <v>0</v>
      </c>
      <c r="AQ27" s="373"/>
      <c r="AR27" s="373"/>
      <c r="AS27" s="374"/>
      <c r="AT27" s="373"/>
      <c r="AU27" s="373">
        <f>AU28+AU30</f>
        <v>0</v>
      </c>
      <c r="AV27" s="373"/>
      <c r="AW27" s="373"/>
      <c r="AX27" s="374"/>
      <c r="AY27" s="373"/>
      <c r="AZ27" s="373">
        <f>AZ28+AZ30</f>
        <v>0</v>
      </c>
      <c r="BA27" s="373"/>
      <c r="BB27" s="373"/>
      <c r="BC27" s="374"/>
      <c r="BD27" s="373"/>
      <c r="BE27" s="373">
        <f>BE28+BE30</f>
        <v>0</v>
      </c>
      <c r="BF27" s="373"/>
      <c r="BG27" s="373"/>
      <c r="BH27" s="374"/>
      <c r="BI27" s="373"/>
      <c r="BJ27" s="373">
        <f>BJ28+BJ30</f>
        <v>0</v>
      </c>
      <c r="BK27" s="373"/>
      <c r="BL27" s="373"/>
      <c r="BM27" s="374"/>
      <c r="BN27" s="373"/>
      <c r="BO27" s="373">
        <f>BO28+BO30</f>
        <v>0</v>
      </c>
      <c r="BP27" s="373"/>
      <c r="BQ27" s="373"/>
      <c r="BR27" s="374"/>
      <c r="BS27" s="373"/>
      <c r="BT27" s="373">
        <f>SUM(BT28:BT30)</f>
        <v>0</v>
      </c>
      <c r="BU27" s="373"/>
      <c r="BV27" s="373"/>
      <c r="BW27" s="9"/>
    </row>
    <row r="28" spans="4:78" x14ac:dyDescent="0.2">
      <c r="D28" s="9" t="s">
        <v>343</v>
      </c>
      <c r="E28" s="156"/>
      <c r="F28" s="309"/>
      <c r="G28" s="371">
        <v>0</v>
      </c>
      <c r="H28" s="372"/>
      <c r="I28" s="373"/>
      <c r="J28" s="374"/>
      <c r="K28" s="375"/>
      <c r="L28" s="371">
        <v>0</v>
      </c>
      <c r="M28" s="372"/>
      <c r="N28" s="373"/>
      <c r="O28" s="374"/>
      <c r="P28" s="375"/>
      <c r="Q28" s="371">
        <v>0</v>
      </c>
      <c r="R28" s="372"/>
      <c r="S28" s="373"/>
      <c r="T28" s="374"/>
      <c r="U28" s="375"/>
      <c r="V28" s="371">
        <v>0</v>
      </c>
      <c r="W28" s="372"/>
      <c r="X28" s="373"/>
      <c r="Y28" s="374"/>
      <c r="Z28" s="375"/>
      <c r="AA28" s="371">
        <v>0</v>
      </c>
      <c r="AB28" s="372"/>
      <c r="AC28" s="373"/>
      <c r="AD28" s="374"/>
      <c r="AE28" s="375"/>
      <c r="AF28" s="371">
        <v>0</v>
      </c>
      <c r="AG28" s="372"/>
      <c r="AH28" s="373"/>
      <c r="AI28" s="374"/>
      <c r="AJ28" s="375"/>
      <c r="AK28" s="371">
        <v>0</v>
      </c>
      <c r="AL28" s="372"/>
      <c r="AM28" s="373"/>
      <c r="AN28" s="374"/>
      <c r="AO28" s="375"/>
      <c r="AP28" s="371">
        <v>0</v>
      </c>
      <c r="AQ28" s="372"/>
      <c r="AR28" s="373"/>
      <c r="AS28" s="374"/>
      <c r="AT28" s="375"/>
      <c r="AU28" s="371">
        <v>0</v>
      </c>
      <c r="AV28" s="372"/>
      <c r="AW28" s="373"/>
      <c r="AX28" s="374"/>
      <c r="AY28" s="375"/>
      <c r="AZ28" s="371">
        <v>0</v>
      </c>
      <c r="BA28" s="372"/>
      <c r="BB28" s="373"/>
      <c r="BC28" s="374"/>
      <c r="BD28" s="375"/>
      <c r="BE28" s="371">
        <v>0</v>
      </c>
      <c r="BF28" s="372"/>
      <c r="BG28" s="373"/>
      <c r="BH28" s="374"/>
      <c r="BI28" s="375"/>
      <c r="BJ28" s="371">
        <v>0</v>
      </c>
      <c r="BK28" s="372"/>
      <c r="BL28" s="373"/>
      <c r="BM28" s="374"/>
      <c r="BN28" s="375"/>
      <c r="BO28" s="371">
        <v>0</v>
      </c>
      <c r="BP28" s="372"/>
      <c r="BQ28" s="373"/>
      <c r="BR28" s="374"/>
      <c r="BS28" s="375"/>
      <c r="BT28" s="371">
        <f>SUM(L28:BO28)</f>
        <v>0</v>
      </c>
      <c r="BU28" s="372"/>
      <c r="BV28" s="373"/>
      <c r="BW28" s="9"/>
    </row>
    <row r="29" spans="4:78" x14ac:dyDescent="0.2">
      <c r="D29" s="9" t="s">
        <v>345</v>
      </c>
      <c r="E29" s="156"/>
      <c r="F29" s="156"/>
      <c r="G29" s="373">
        <v>0</v>
      </c>
      <c r="H29" s="377"/>
      <c r="I29" s="373"/>
      <c r="J29" s="374"/>
      <c r="K29" s="374"/>
      <c r="L29" s="373">
        <v>0</v>
      </c>
      <c r="M29" s="377"/>
      <c r="N29" s="373"/>
      <c r="O29" s="374"/>
      <c r="P29" s="374"/>
      <c r="Q29" s="373">
        <v>0</v>
      </c>
      <c r="R29" s="377"/>
      <c r="S29" s="373"/>
      <c r="T29" s="374"/>
      <c r="U29" s="374"/>
      <c r="V29" s="373">
        <v>0</v>
      </c>
      <c r="W29" s="377"/>
      <c r="X29" s="373"/>
      <c r="Y29" s="374"/>
      <c r="Z29" s="374"/>
      <c r="AA29" s="373">
        <v>0</v>
      </c>
      <c r="AB29" s="377"/>
      <c r="AC29" s="373"/>
      <c r="AD29" s="374"/>
      <c r="AE29" s="374"/>
      <c r="AF29" s="373">
        <v>0</v>
      </c>
      <c r="AG29" s="377"/>
      <c r="AH29" s="373"/>
      <c r="AI29" s="374"/>
      <c r="AJ29" s="374"/>
      <c r="AK29" s="373">
        <v>0</v>
      </c>
      <c r="AL29" s="377"/>
      <c r="AM29" s="373"/>
      <c r="AN29" s="374"/>
      <c r="AO29" s="374"/>
      <c r="AP29" s="373">
        <v>0</v>
      </c>
      <c r="AQ29" s="377"/>
      <c r="AR29" s="373"/>
      <c r="AS29" s="374"/>
      <c r="AT29" s="374"/>
      <c r="AU29" s="373">
        <v>0</v>
      </c>
      <c r="AV29" s="377"/>
      <c r="AW29" s="373"/>
      <c r="AX29" s="374"/>
      <c r="AY29" s="374"/>
      <c r="AZ29" s="373">
        <v>0</v>
      </c>
      <c r="BA29" s="377"/>
      <c r="BB29" s="373"/>
      <c r="BC29" s="374"/>
      <c r="BD29" s="374"/>
      <c r="BE29" s="373">
        <v>0</v>
      </c>
      <c r="BF29" s="377"/>
      <c r="BG29" s="373"/>
      <c r="BH29" s="374"/>
      <c r="BI29" s="374"/>
      <c r="BJ29" s="373">
        <v>0</v>
      </c>
      <c r="BK29" s="377"/>
      <c r="BL29" s="373"/>
      <c r="BM29" s="374"/>
      <c r="BN29" s="374"/>
      <c r="BO29" s="373">
        <v>0</v>
      </c>
      <c r="BP29" s="377"/>
      <c r="BQ29" s="373"/>
      <c r="BR29" s="374"/>
      <c r="BS29" s="374"/>
      <c r="BT29" s="373">
        <f>SUM(L29:BO29)</f>
        <v>0</v>
      </c>
      <c r="BU29" s="377"/>
      <c r="BV29" s="373"/>
      <c r="BW29" s="9"/>
    </row>
    <row r="30" spans="4:78" x14ac:dyDescent="0.2">
      <c r="D30" s="9" t="s">
        <v>353</v>
      </c>
      <c r="E30" s="156"/>
      <c r="F30" s="320"/>
      <c r="G30" s="385">
        <v>0</v>
      </c>
      <c r="H30" s="386"/>
      <c r="I30" s="373"/>
      <c r="J30" s="374"/>
      <c r="K30" s="387"/>
      <c r="L30" s="385">
        <v>0</v>
      </c>
      <c r="M30" s="386"/>
      <c r="N30" s="373"/>
      <c r="O30" s="374"/>
      <c r="P30" s="387"/>
      <c r="Q30" s="385">
        <v>0</v>
      </c>
      <c r="R30" s="386"/>
      <c r="S30" s="373"/>
      <c r="T30" s="374"/>
      <c r="U30" s="387"/>
      <c r="V30" s="385">
        <v>0</v>
      </c>
      <c r="W30" s="386"/>
      <c r="X30" s="373"/>
      <c r="Y30" s="374"/>
      <c r="Z30" s="387"/>
      <c r="AA30" s="385">
        <v>0</v>
      </c>
      <c r="AB30" s="386"/>
      <c r="AC30" s="373"/>
      <c r="AD30" s="374"/>
      <c r="AE30" s="387"/>
      <c r="AF30" s="385">
        <v>0</v>
      </c>
      <c r="AG30" s="386"/>
      <c r="AH30" s="373"/>
      <c r="AI30" s="374"/>
      <c r="AJ30" s="387"/>
      <c r="AK30" s="385">
        <v>0</v>
      </c>
      <c r="AL30" s="386"/>
      <c r="AM30" s="373"/>
      <c r="AN30" s="374"/>
      <c r="AO30" s="387"/>
      <c r="AP30" s="385">
        <v>0</v>
      </c>
      <c r="AQ30" s="386"/>
      <c r="AR30" s="373"/>
      <c r="AS30" s="374"/>
      <c r="AT30" s="387"/>
      <c r="AU30" s="385">
        <v>0</v>
      </c>
      <c r="AV30" s="386"/>
      <c r="AW30" s="373"/>
      <c r="AX30" s="374"/>
      <c r="AY30" s="387"/>
      <c r="AZ30" s="385">
        <v>0</v>
      </c>
      <c r="BA30" s="386"/>
      <c r="BB30" s="373"/>
      <c r="BC30" s="374"/>
      <c r="BD30" s="387"/>
      <c r="BE30" s="385">
        <v>0</v>
      </c>
      <c r="BF30" s="386"/>
      <c r="BG30" s="373"/>
      <c r="BH30" s="374"/>
      <c r="BI30" s="387"/>
      <c r="BJ30" s="385">
        <v>0</v>
      </c>
      <c r="BK30" s="386"/>
      <c r="BL30" s="373"/>
      <c r="BM30" s="374"/>
      <c r="BN30" s="387"/>
      <c r="BO30" s="385">
        <v>0</v>
      </c>
      <c r="BP30" s="386"/>
      <c r="BQ30" s="373"/>
      <c r="BR30" s="374"/>
      <c r="BS30" s="387"/>
      <c r="BT30" s="385">
        <f>SUM(L30:BO30)</f>
        <v>0</v>
      </c>
      <c r="BU30" s="386"/>
      <c r="BV30" s="373"/>
      <c r="BW30" s="9"/>
    </row>
    <row r="31" spans="4:78" x14ac:dyDescent="0.2">
      <c r="D31" s="9"/>
      <c r="E31" s="156"/>
      <c r="G31" s="373"/>
      <c r="H31" s="373"/>
      <c r="I31" s="373"/>
      <c r="J31" s="374"/>
      <c r="K31" s="373"/>
      <c r="L31" s="373"/>
      <c r="M31" s="373"/>
      <c r="N31" s="373"/>
      <c r="O31" s="374"/>
      <c r="P31" s="373"/>
      <c r="Q31" s="373"/>
      <c r="R31" s="373"/>
      <c r="S31" s="373"/>
      <c r="T31" s="374"/>
      <c r="U31" s="373"/>
      <c r="V31" s="373"/>
      <c r="W31" s="373"/>
      <c r="X31" s="373"/>
      <c r="Y31" s="374"/>
      <c r="Z31" s="373"/>
      <c r="AA31" s="373"/>
      <c r="AB31" s="373"/>
      <c r="AC31" s="373"/>
      <c r="AD31" s="374"/>
      <c r="AE31" s="373"/>
      <c r="AF31" s="373"/>
      <c r="AG31" s="373"/>
      <c r="AH31" s="373"/>
      <c r="AI31" s="374"/>
      <c r="AJ31" s="373"/>
      <c r="AK31" s="373"/>
      <c r="AL31" s="373"/>
      <c r="AM31" s="373"/>
      <c r="AN31" s="374"/>
      <c r="AO31" s="373"/>
      <c r="AP31" s="373"/>
      <c r="AQ31" s="373"/>
      <c r="AR31" s="373"/>
      <c r="AS31" s="374"/>
      <c r="AT31" s="373"/>
      <c r="AU31" s="373"/>
      <c r="AV31" s="373"/>
      <c r="AW31" s="373"/>
      <c r="AX31" s="374"/>
      <c r="AY31" s="373"/>
      <c r="AZ31" s="373"/>
      <c r="BA31" s="373"/>
      <c r="BB31" s="373"/>
      <c r="BC31" s="374"/>
      <c r="BD31" s="373"/>
      <c r="BE31" s="373"/>
      <c r="BF31" s="373"/>
      <c r="BG31" s="373"/>
      <c r="BH31" s="374"/>
      <c r="BI31" s="373"/>
      <c r="BJ31" s="373"/>
      <c r="BK31" s="373"/>
      <c r="BL31" s="373"/>
      <c r="BM31" s="374"/>
      <c r="BN31" s="373"/>
      <c r="BO31" s="373"/>
      <c r="BP31" s="373"/>
      <c r="BQ31" s="373"/>
      <c r="BR31" s="374"/>
      <c r="BS31" s="373"/>
      <c r="BT31" s="373"/>
      <c r="BU31" s="373"/>
      <c r="BV31" s="373"/>
      <c r="BW31" s="9"/>
    </row>
    <row r="32" spans="4:78" hidden="1" x14ac:dyDescent="0.2">
      <c r="D32" s="9" t="s">
        <v>448</v>
      </c>
      <c r="E32" s="156"/>
      <c r="G32" s="373">
        <v>0</v>
      </c>
      <c r="H32" s="373"/>
      <c r="I32" s="373"/>
      <c r="J32" s="374"/>
      <c r="K32" s="373"/>
      <c r="L32" s="373">
        <f>L33+L35</f>
        <v>0</v>
      </c>
      <c r="M32" s="373"/>
      <c r="N32" s="373"/>
      <c r="O32" s="374"/>
      <c r="P32" s="373"/>
      <c r="Q32" s="373">
        <f>Q33+Q35</f>
        <v>0</v>
      </c>
      <c r="R32" s="373"/>
      <c r="S32" s="373"/>
      <c r="T32" s="374"/>
      <c r="U32" s="373"/>
      <c r="V32" s="373">
        <f>V33+V35</f>
        <v>0</v>
      </c>
      <c r="W32" s="373"/>
      <c r="X32" s="373"/>
      <c r="Y32" s="374"/>
      <c r="Z32" s="373"/>
      <c r="AA32" s="373">
        <f>AA33+AA35</f>
        <v>0</v>
      </c>
      <c r="AB32" s="373"/>
      <c r="AC32" s="373"/>
      <c r="AD32" s="374"/>
      <c r="AE32" s="373"/>
      <c r="AF32" s="373">
        <f>AF33+AF35</f>
        <v>0</v>
      </c>
      <c r="AG32" s="373"/>
      <c r="AH32" s="373"/>
      <c r="AI32" s="374"/>
      <c r="AJ32" s="373"/>
      <c r="AK32" s="373">
        <f>AK33+AK35</f>
        <v>0</v>
      </c>
      <c r="AL32" s="373"/>
      <c r="AM32" s="373"/>
      <c r="AN32" s="374"/>
      <c r="AO32" s="373"/>
      <c r="AP32" s="373">
        <f>AP33+AP35</f>
        <v>0</v>
      </c>
      <c r="AQ32" s="373"/>
      <c r="AR32" s="373"/>
      <c r="AS32" s="374"/>
      <c r="AT32" s="373"/>
      <c r="AU32" s="373">
        <f>AU33+AU35</f>
        <v>0</v>
      </c>
      <c r="AV32" s="373"/>
      <c r="AW32" s="373"/>
      <c r="AX32" s="374"/>
      <c r="AY32" s="373"/>
      <c r="AZ32" s="373">
        <f>AZ33+AZ35</f>
        <v>0</v>
      </c>
      <c r="BA32" s="373"/>
      <c r="BB32" s="373"/>
      <c r="BC32" s="374"/>
      <c r="BD32" s="373"/>
      <c r="BE32" s="373">
        <f>BE33+BE35</f>
        <v>0</v>
      </c>
      <c r="BF32" s="373"/>
      <c r="BG32" s="373"/>
      <c r="BH32" s="374"/>
      <c r="BI32" s="373"/>
      <c r="BJ32" s="373">
        <f>BJ33+BJ35</f>
        <v>0</v>
      </c>
      <c r="BK32" s="373"/>
      <c r="BL32" s="373"/>
      <c r="BM32" s="374"/>
      <c r="BN32" s="373"/>
      <c r="BO32" s="373">
        <f>BO33+BO35</f>
        <v>0</v>
      </c>
      <c r="BP32" s="373"/>
      <c r="BQ32" s="373"/>
      <c r="BR32" s="374"/>
      <c r="BS32" s="373"/>
      <c r="BT32" s="373">
        <f>SUM(BT33:BT35)</f>
        <v>0</v>
      </c>
      <c r="BU32" s="373"/>
      <c r="BV32" s="373"/>
      <c r="BW32" s="9"/>
    </row>
    <row r="33" spans="4:75" hidden="1" x14ac:dyDescent="0.2">
      <c r="D33" s="9" t="s">
        <v>343</v>
      </c>
      <c r="E33" s="156"/>
      <c r="F33" s="309"/>
      <c r="G33" s="371">
        <v>0</v>
      </c>
      <c r="H33" s="372"/>
      <c r="I33" s="373"/>
      <c r="J33" s="374"/>
      <c r="K33" s="375"/>
      <c r="L33" s="371">
        <v>0</v>
      </c>
      <c r="M33" s="372"/>
      <c r="N33" s="373"/>
      <c r="O33" s="374"/>
      <c r="P33" s="375"/>
      <c r="Q33" s="371">
        <v>0</v>
      </c>
      <c r="R33" s="372"/>
      <c r="S33" s="373"/>
      <c r="T33" s="374"/>
      <c r="U33" s="375"/>
      <c r="V33" s="371">
        <v>0</v>
      </c>
      <c r="W33" s="372"/>
      <c r="X33" s="373"/>
      <c r="Y33" s="374"/>
      <c r="Z33" s="375"/>
      <c r="AA33" s="371">
        <v>0</v>
      </c>
      <c r="AB33" s="372"/>
      <c r="AC33" s="373"/>
      <c r="AD33" s="374"/>
      <c r="AE33" s="375"/>
      <c r="AF33" s="371">
        <v>0</v>
      </c>
      <c r="AG33" s="372"/>
      <c r="AH33" s="373"/>
      <c r="AI33" s="374"/>
      <c r="AJ33" s="375"/>
      <c r="AK33" s="371">
        <v>0</v>
      </c>
      <c r="AL33" s="372"/>
      <c r="AM33" s="373"/>
      <c r="AN33" s="374"/>
      <c r="AO33" s="375"/>
      <c r="AP33" s="371">
        <v>0</v>
      </c>
      <c r="AQ33" s="372"/>
      <c r="AR33" s="373"/>
      <c r="AS33" s="374"/>
      <c r="AT33" s="375"/>
      <c r="AU33" s="371">
        <v>0</v>
      </c>
      <c r="AV33" s="372"/>
      <c r="AW33" s="373"/>
      <c r="AX33" s="374"/>
      <c r="AY33" s="375"/>
      <c r="AZ33" s="371">
        <v>0</v>
      </c>
      <c r="BA33" s="372"/>
      <c r="BB33" s="373"/>
      <c r="BC33" s="374"/>
      <c r="BD33" s="375"/>
      <c r="BE33" s="371">
        <v>0</v>
      </c>
      <c r="BF33" s="372"/>
      <c r="BG33" s="373"/>
      <c r="BH33" s="374"/>
      <c r="BI33" s="375"/>
      <c r="BJ33" s="371">
        <v>0</v>
      </c>
      <c r="BK33" s="372"/>
      <c r="BL33" s="373"/>
      <c r="BM33" s="374"/>
      <c r="BN33" s="375"/>
      <c r="BO33" s="371">
        <v>0</v>
      </c>
      <c r="BP33" s="372"/>
      <c r="BQ33" s="373"/>
      <c r="BR33" s="374"/>
      <c r="BS33" s="375"/>
      <c r="BT33" s="371">
        <f>SUM(L33:BO33)</f>
        <v>0</v>
      </c>
      <c r="BU33" s="372"/>
      <c r="BV33" s="373"/>
      <c r="BW33" s="9"/>
    </row>
    <row r="34" spans="4:75" hidden="1" x14ac:dyDescent="0.2">
      <c r="D34" s="9" t="s">
        <v>345</v>
      </c>
      <c r="E34" s="156"/>
      <c r="F34" s="156"/>
      <c r="G34" s="373">
        <v>0</v>
      </c>
      <c r="H34" s="377"/>
      <c r="I34" s="373"/>
      <c r="J34" s="374"/>
      <c r="K34" s="374"/>
      <c r="L34" s="373">
        <v>0</v>
      </c>
      <c r="M34" s="377"/>
      <c r="N34" s="373"/>
      <c r="O34" s="374"/>
      <c r="P34" s="374"/>
      <c r="Q34" s="373">
        <v>0</v>
      </c>
      <c r="R34" s="377"/>
      <c r="S34" s="373"/>
      <c r="T34" s="374"/>
      <c r="U34" s="374"/>
      <c r="V34" s="373">
        <v>0</v>
      </c>
      <c r="W34" s="377"/>
      <c r="X34" s="373"/>
      <c r="Y34" s="374"/>
      <c r="Z34" s="374"/>
      <c r="AA34" s="373">
        <v>0</v>
      </c>
      <c r="AB34" s="377"/>
      <c r="AC34" s="373"/>
      <c r="AD34" s="374"/>
      <c r="AE34" s="374"/>
      <c r="AF34" s="373">
        <v>0</v>
      </c>
      <c r="AG34" s="377"/>
      <c r="AH34" s="373"/>
      <c r="AI34" s="374"/>
      <c r="AJ34" s="374"/>
      <c r="AK34" s="373">
        <v>0</v>
      </c>
      <c r="AL34" s="377"/>
      <c r="AM34" s="373"/>
      <c r="AN34" s="374"/>
      <c r="AO34" s="374"/>
      <c r="AP34" s="373">
        <v>0</v>
      </c>
      <c r="AQ34" s="377"/>
      <c r="AR34" s="373"/>
      <c r="AS34" s="374"/>
      <c r="AT34" s="374"/>
      <c r="AU34" s="373">
        <v>0</v>
      </c>
      <c r="AV34" s="377"/>
      <c r="AW34" s="373"/>
      <c r="AX34" s="374"/>
      <c r="AY34" s="374"/>
      <c r="AZ34" s="373">
        <v>0</v>
      </c>
      <c r="BA34" s="377"/>
      <c r="BB34" s="373"/>
      <c r="BC34" s="374"/>
      <c r="BD34" s="374"/>
      <c r="BE34" s="373">
        <v>0</v>
      </c>
      <c r="BF34" s="377"/>
      <c r="BG34" s="373"/>
      <c r="BH34" s="374"/>
      <c r="BI34" s="374"/>
      <c r="BJ34" s="373">
        <v>0</v>
      </c>
      <c r="BK34" s="377"/>
      <c r="BL34" s="373"/>
      <c r="BM34" s="374"/>
      <c r="BN34" s="374"/>
      <c r="BO34" s="373">
        <v>0</v>
      </c>
      <c r="BP34" s="377"/>
      <c r="BQ34" s="373"/>
      <c r="BR34" s="374"/>
      <c r="BS34" s="374"/>
      <c r="BT34" s="373">
        <f>SUM(L34:BO34)</f>
        <v>0</v>
      </c>
      <c r="BU34" s="377"/>
      <c r="BV34" s="373"/>
      <c r="BW34" s="9"/>
    </row>
    <row r="35" spans="4:75" hidden="1" x14ac:dyDescent="0.2">
      <c r="D35" s="9" t="s">
        <v>353</v>
      </c>
      <c r="E35" s="156"/>
      <c r="F35" s="320"/>
      <c r="G35" s="385">
        <v>0</v>
      </c>
      <c r="H35" s="386"/>
      <c r="I35" s="373"/>
      <c r="J35" s="374"/>
      <c r="K35" s="387"/>
      <c r="L35" s="385">
        <v>0</v>
      </c>
      <c r="M35" s="386"/>
      <c r="N35" s="373"/>
      <c r="O35" s="374"/>
      <c r="P35" s="387"/>
      <c r="Q35" s="385">
        <v>0</v>
      </c>
      <c r="R35" s="386"/>
      <c r="S35" s="373"/>
      <c r="T35" s="374"/>
      <c r="U35" s="387"/>
      <c r="V35" s="385">
        <v>0</v>
      </c>
      <c r="W35" s="386"/>
      <c r="X35" s="373"/>
      <c r="Y35" s="374"/>
      <c r="Z35" s="387"/>
      <c r="AA35" s="385">
        <v>0</v>
      </c>
      <c r="AB35" s="386"/>
      <c r="AC35" s="373"/>
      <c r="AD35" s="374"/>
      <c r="AE35" s="387"/>
      <c r="AF35" s="385">
        <v>0</v>
      </c>
      <c r="AG35" s="386"/>
      <c r="AH35" s="373"/>
      <c r="AI35" s="374"/>
      <c r="AJ35" s="387"/>
      <c r="AK35" s="385">
        <v>0</v>
      </c>
      <c r="AL35" s="386"/>
      <c r="AM35" s="373"/>
      <c r="AN35" s="374"/>
      <c r="AO35" s="387"/>
      <c r="AP35" s="385">
        <v>0</v>
      </c>
      <c r="AQ35" s="386"/>
      <c r="AR35" s="373"/>
      <c r="AS35" s="374"/>
      <c r="AT35" s="387"/>
      <c r="AU35" s="385">
        <v>0</v>
      </c>
      <c r="AV35" s="386"/>
      <c r="AW35" s="373"/>
      <c r="AX35" s="374"/>
      <c r="AY35" s="387"/>
      <c r="AZ35" s="385">
        <v>0</v>
      </c>
      <c r="BA35" s="386"/>
      <c r="BB35" s="373"/>
      <c r="BC35" s="374"/>
      <c r="BD35" s="387"/>
      <c r="BE35" s="385">
        <v>0</v>
      </c>
      <c r="BF35" s="386"/>
      <c r="BG35" s="373"/>
      <c r="BH35" s="374"/>
      <c r="BI35" s="387"/>
      <c r="BJ35" s="385">
        <v>0</v>
      </c>
      <c r="BK35" s="386"/>
      <c r="BL35" s="373"/>
      <c r="BM35" s="374"/>
      <c r="BN35" s="387"/>
      <c r="BO35" s="385">
        <v>0</v>
      </c>
      <c r="BP35" s="386"/>
      <c r="BQ35" s="373"/>
      <c r="BR35" s="374"/>
      <c r="BS35" s="387"/>
      <c r="BT35" s="385">
        <f>SUM(L35:BO35)</f>
        <v>0</v>
      </c>
      <c r="BU35" s="386"/>
      <c r="BV35" s="373"/>
      <c r="BW35" s="9"/>
    </row>
    <row r="36" spans="4:75" hidden="1" x14ac:dyDescent="0.2">
      <c r="D36" s="9"/>
      <c r="E36" s="156"/>
      <c r="G36" s="373"/>
      <c r="H36" s="373"/>
      <c r="I36" s="373"/>
      <c r="J36" s="374"/>
      <c r="K36" s="373"/>
      <c r="L36" s="373"/>
      <c r="M36" s="373"/>
      <c r="N36" s="373"/>
      <c r="O36" s="374"/>
      <c r="P36" s="373"/>
      <c r="Q36" s="373"/>
      <c r="R36" s="373"/>
      <c r="S36" s="373"/>
      <c r="T36" s="374"/>
      <c r="U36" s="373"/>
      <c r="V36" s="373"/>
      <c r="W36" s="373"/>
      <c r="X36" s="373"/>
      <c r="Y36" s="374"/>
      <c r="Z36" s="373"/>
      <c r="AA36" s="373"/>
      <c r="AB36" s="373"/>
      <c r="AC36" s="373"/>
      <c r="AD36" s="374"/>
      <c r="AE36" s="373"/>
      <c r="AF36" s="373"/>
      <c r="AG36" s="373"/>
      <c r="AH36" s="373"/>
      <c r="AI36" s="374"/>
      <c r="AJ36" s="373"/>
      <c r="AK36" s="373"/>
      <c r="AL36" s="373"/>
      <c r="AM36" s="373"/>
      <c r="AN36" s="374"/>
      <c r="AO36" s="373"/>
      <c r="AP36" s="373"/>
      <c r="AQ36" s="373"/>
      <c r="AR36" s="373"/>
      <c r="AS36" s="374"/>
      <c r="AT36" s="373"/>
      <c r="AU36" s="373"/>
      <c r="AV36" s="373"/>
      <c r="AW36" s="373"/>
      <c r="AX36" s="374"/>
      <c r="AY36" s="373"/>
      <c r="AZ36" s="373"/>
      <c r="BA36" s="373"/>
      <c r="BB36" s="373"/>
      <c r="BC36" s="374"/>
      <c r="BD36" s="373"/>
      <c r="BE36" s="373"/>
      <c r="BF36" s="373"/>
      <c r="BG36" s="373"/>
      <c r="BH36" s="374"/>
      <c r="BI36" s="373"/>
      <c r="BJ36" s="373"/>
      <c r="BK36" s="373"/>
      <c r="BL36" s="373"/>
      <c r="BM36" s="374"/>
      <c r="BN36" s="373"/>
      <c r="BO36" s="373"/>
      <c r="BP36" s="373"/>
      <c r="BQ36" s="373"/>
      <c r="BR36" s="374"/>
      <c r="BS36" s="373"/>
      <c r="BT36" s="373"/>
      <c r="BU36" s="373"/>
      <c r="BV36" s="373"/>
      <c r="BW36" s="9"/>
    </row>
    <row r="37" spans="4:75" x14ac:dyDescent="0.2">
      <c r="D37" s="9" t="s">
        <v>449</v>
      </c>
      <c r="E37" s="156"/>
      <c r="G37" s="373">
        <v>0</v>
      </c>
      <c r="H37" s="373"/>
      <c r="I37" s="373"/>
      <c r="J37" s="374"/>
      <c r="K37" s="373"/>
      <c r="L37" s="373">
        <f>L38+L40</f>
        <v>0</v>
      </c>
      <c r="M37" s="373"/>
      <c r="N37" s="373"/>
      <c r="O37" s="374"/>
      <c r="P37" s="373"/>
      <c r="Q37" s="373">
        <f>SUM(Q38:Q40)</f>
        <v>0</v>
      </c>
      <c r="R37" s="373"/>
      <c r="S37" s="373"/>
      <c r="T37" s="374"/>
      <c r="U37" s="373"/>
      <c r="V37" s="373">
        <f>V38+V40</f>
        <v>0</v>
      </c>
      <c r="W37" s="373"/>
      <c r="X37" s="373"/>
      <c r="Y37" s="374"/>
      <c r="Z37" s="373"/>
      <c r="AA37" s="373">
        <f>AA38+AA40</f>
        <v>16390000</v>
      </c>
      <c r="AB37" s="373"/>
      <c r="AC37" s="373"/>
      <c r="AD37" s="374"/>
      <c r="AE37" s="373"/>
      <c r="AF37" s="373">
        <f>AF38+AF40</f>
        <v>0</v>
      </c>
      <c r="AG37" s="373"/>
      <c r="AH37" s="373"/>
      <c r="AI37" s="374"/>
      <c r="AJ37" s="373"/>
      <c r="AK37" s="373">
        <f>AK38+AK40</f>
        <v>0</v>
      </c>
      <c r="AL37" s="373"/>
      <c r="AM37" s="373"/>
      <c r="AN37" s="374"/>
      <c r="AO37" s="373"/>
      <c r="AP37" s="373">
        <f>AP38+AP40</f>
        <v>0</v>
      </c>
      <c r="AQ37" s="373"/>
      <c r="AR37" s="373"/>
      <c r="AS37" s="374"/>
      <c r="AT37" s="373"/>
      <c r="AU37" s="373">
        <f>AU38+AU40</f>
        <v>0</v>
      </c>
      <c r="AV37" s="373"/>
      <c r="AW37" s="373"/>
      <c r="AX37" s="374"/>
      <c r="AY37" s="373"/>
      <c r="AZ37" s="373">
        <f>AZ38+AZ40</f>
        <v>0</v>
      </c>
      <c r="BA37" s="373"/>
      <c r="BB37" s="373"/>
      <c r="BC37" s="374"/>
      <c r="BD37" s="373"/>
      <c r="BE37" s="373">
        <f>BE38+BE40</f>
        <v>0</v>
      </c>
      <c r="BF37" s="373"/>
      <c r="BG37" s="373"/>
      <c r="BH37" s="374"/>
      <c r="BI37" s="373"/>
      <c r="BJ37" s="373">
        <f>BJ38+BJ40</f>
        <v>0</v>
      </c>
      <c r="BK37" s="373"/>
      <c r="BL37" s="373"/>
      <c r="BM37" s="374"/>
      <c r="BN37" s="373"/>
      <c r="BO37" s="373">
        <f>BO38+BO40</f>
        <v>0</v>
      </c>
      <c r="BP37" s="373"/>
      <c r="BQ37" s="373"/>
      <c r="BR37" s="374"/>
      <c r="BS37" s="373"/>
      <c r="BT37" s="373">
        <f>SUM(BT38:BT40)</f>
        <v>16390000</v>
      </c>
      <c r="BU37" s="373"/>
      <c r="BV37" s="373"/>
      <c r="BW37" s="9"/>
    </row>
    <row r="38" spans="4:75" x14ac:dyDescent="0.2">
      <c r="D38" s="9" t="s">
        <v>343</v>
      </c>
      <c r="E38" s="156"/>
      <c r="F38" s="309"/>
      <c r="G38" s="371">
        <v>0</v>
      </c>
      <c r="H38" s="372"/>
      <c r="I38" s="373"/>
      <c r="J38" s="374"/>
      <c r="K38" s="375"/>
      <c r="L38" s="371">
        <v>0</v>
      </c>
      <c r="M38" s="372"/>
      <c r="N38" s="373"/>
      <c r="O38" s="374"/>
      <c r="P38" s="375"/>
      <c r="Q38" s="371">
        <v>0</v>
      </c>
      <c r="R38" s="372"/>
      <c r="S38" s="373"/>
      <c r="T38" s="374"/>
      <c r="U38" s="375"/>
      <c r="V38" s="371">
        <v>0</v>
      </c>
      <c r="W38" s="372"/>
      <c r="X38" s="373"/>
      <c r="Y38" s="374"/>
      <c r="Z38" s="375"/>
      <c r="AA38" s="371">
        <v>16390000</v>
      </c>
      <c r="AB38" s="372"/>
      <c r="AC38" s="373"/>
      <c r="AD38" s="374"/>
      <c r="AE38" s="375"/>
      <c r="AF38" s="371">
        <v>0</v>
      </c>
      <c r="AG38" s="372"/>
      <c r="AH38" s="373"/>
      <c r="AI38" s="374"/>
      <c r="AJ38" s="375"/>
      <c r="AK38" s="371">
        <v>0</v>
      </c>
      <c r="AL38" s="372"/>
      <c r="AM38" s="373"/>
      <c r="AN38" s="374"/>
      <c r="AO38" s="375"/>
      <c r="AP38" s="371">
        <v>0</v>
      </c>
      <c r="AQ38" s="372"/>
      <c r="AR38" s="373"/>
      <c r="AS38" s="374"/>
      <c r="AT38" s="375"/>
      <c r="AU38" s="371">
        <v>0</v>
      </c>
      <c r="AV38" s="372"/>
      <c r="AW38" s="373"/>
      <c r="AX38" s="374"/>
      <c r="AY38" s="375"/>
      <c r="AZ38" s="371">
        <v>0</v>
      </c>
      <c r="BA38" s="372"/>
      <c r="BB38" s="373"/>
      <c r="BC38" s="374"/>
      <c r="BD38" s="375"/>
      <c r="BE38" s="371">
        <v>0</v>
      </c>
      <c r="BF38" s="372"/>
      <c r="BG38" s="373"/>
      <c r="BH38" s="374"/>
      <c r="BI38" s="375"/>
      <c r="BJ38" s="371">
        <v>0</v>
      </c>
      <c r="BK38" s="372"/>
      <c r="BL38" s="373"/>
      <c r="BM38" s="374"/>
      <c r="BN38" s="375"/>
      <c r="BO38" s="371">
        <v>0</v>
      </c>
      <c r="BP38" s="372"/>
      <c r="BQ38" s="373"/>
      <c r="BR38" s="374"/>
      <c r="BS38" s="375"/>
      <c r="BT38" s="371">
        <f>SUM(L38:BO38)</f>
        <v>16390000</v>
      </c>
      <c r="BU38" s="372"/>
      <c r="BV38" s="373"/>
      <c r="BW38" s="9"/>
    </row>
    <row r="39" spans="4:75" x14ac:dyDescent="0.2">
      <c r="D39" s="9" t="s">
        <v>345</v>
      </c>
      <c r="E39" s="156"/>
      <c r="F39" s="156"/>
      <c r="G39" s="373">
        <v>0</v>
      </c>
      <c r="H39" s="377"/>
      <c r="I39" s="373"/>
      <c r="J39" s="374"/>
      <c r="K39" s="374"/>
      <c r="L39" s="373">
        <v>0</v>
      </c>
      <c r="M39" s="377"/>
      <c r="N39" s="373"/>
      <c r="O39" s="374"/>
      <c r="P39" s="374"/>
      <c r="Q39" s="373">
        <v>0</v>
      </c>
      <c r="R39" s="377"/>
      <c r="S39" s="373"/>
      <c r="T39" s="374"/>
      <c r="U39" s="374"/>
      <c r="V39" s="373">
        <v>0</v>
      </c>
      <c r="W39" s="377"/>
      <c r="X39" s="373"/>
      <c r="Y39" s="374"/>
      <c r="Z39" s="374"/>
      <c r="AA39" s="373">
        <v>0</v>
      </c>
      <c r="AB39" s="377"/>
      <c r="AC39" s="373"/>
      <c r="AD39" s="374"/>
      <c r="AE39" s="374"/>
      <c r="AF39" s="373">
        <v>0</v>
      </c>
      <c r="AG39" s="377"/>
      <c r="AH39" s="373"/>
      <c r="AI39" s="374"/>
      <c r="AJ39" s="374"/>
      <c r="AK39" s="373">
        <v>0</v>
      </c>
      <c r="AL39" s="377"/>
      <c r="AM39" s="373"/>
      <c r="AN39" s="374"/>
      <c r="AO39" s="374"/>
      <c r="AP39" s="373">
        <v>0</v>
      </c>
      <c r="AQ39" s="377"/>
      <c r="AR39" s="373"/>
      <c r="AS39" s="374"/>
      <c r="AT39" s="374"/>
      <c r="AU39" s="373">
        <v>0</v>
      </c>
      <c r="AV39" s="377"/>
      <c r="AW39" s="373"/>
      <c r="AX39" s="374"/>
      <c r="AY39" s="374"/>
      <c r="AZ39" s="373">
        <v>0</v>
      </c>
      <c r="BA39" s="377"/>
      <c r="BB39" s="373"/>
      <c r="BC39" s="374"/>
      <c r="BD39" s="374"/>
      <c r="BE39" s="373">
        <v>0</v>
      </c>
      <c r="BF39" s="377"/>
      <c r="BG39" s="373"/>
      <c r="BH39" s="374"/>
      <c r="BI39" s="374"/>
      <c r="BJ39" s="373">
        <v>0</v>
      </c>
      <c r="BK39" s="377"/>
      <c r="BL39" s="373"/>
      <c r="BM39" s="374"/>
      <c r="BN39" s="374"/>
      <c r="BO39" s="373">
        <v>0</v>
      </c>
      <c r="BP39" s="377"/>
      <c r="BQ39" s="373"/>
      <c r="BR39" s="374"/>
      <c r="BS39" s="374"/>
      <c r="BT39" s="373">
        <f>SUM(L39:BO39)</f>
        <v>0</v>
      </c>
      <c r="BU39" s="377"/>
      <c r="BV39" s="373"/>
      <c r="BW39" s="9"/>
    </row>
    <row r="40" spans="4:75" x14ac:dyDescent="0.2">
      <c r="D40" s="9" t="s">
        <v>353</v>
      </c>
      <c r="E40" s="156"/>
      <c r="F40" s="320"/>
      <c r="G40" s="385">
        <v>0</v>
      </c>
      <c r="H40" s="386"/>
      <c r="I40" s="373"/>
      <c r="J40" s="374"/>
      <c r="K40" s="387"/>
      <c r="L40" s="385">
        <v>0</v>
      </c>
      <c r="M40" s="386"/>
      <c r="N40" s="373"/>
      <c r="O40" s="374"/>
      <c r="P40" s="387"/>
      <c r="Q40" s="385">
        <v>0</v>
      </c>
      <c r="R40" s="386"/>
      <c r="S40" s="373"/>
      <c r="T40" s="374"/>
      <c r="U40" s="387"/>
      <c r="V40" s="385">
        <v>0</v>
      </c>
      <c r="W40" s="386"/>
      <c r="X40" s="373"/>
      <c r="Y40" s="374"/>
      <c r="Z40" s="387"/>
      <c r="AA40" s="385">
        <v>0</v>
      </c>
      <c r="AB40" s="386"/>
      <c r="AC40" s="373"/>
      <c r="AD40" s="374"/>
      <c r="AE40" s="387"/>
      <c r="AF40" s="385">
        <v>0</v>
      </c>
      <c r="AG40" s="386"/>
      <c r="AH40" s="373"/>
      <c r="AI40" s="374"/>
      <c r="AJ40" s="387"/>
      <c r="AK40" s="385">
        <v>0</v>
      </c>
      <c r="AL40" s="386"/>
      <c r="AM40" s="373"/>
      <c r="AN40" s="374"/>
      <c r="AO40" s="387"/>
      <c r="AP40" s="385">
        <v>0</v>
      </c>
      <c r="AQ40" s="386"/>
      <c r="AR40" s="373"/>
      <c r="AS40" s="374"/>
      <c r="AT40" s="387"/>
      <c r="AU40" s="385">
        <v>0</v>
      </c>
      <c r="AV40" s="386"/>
      <c r="AW40" s="373"/>
      <c r="AX40" s="374"/>
      <c r="AY40" s="387"/>
      <c r="AZ40" s="385">
        <v>0</v>
      </c>
      <c r="BA40" s="386"/>
      <c r="BB40" s="373"/>
      <c r="BC40" s="374"/>
      <c r="BD40" s="387"/>
      <c r="BE40" s="385">
        <v>0</v>
      </c>
      <c r="BF40" s="386"/>
      <c r="BG40" s="373"/>
      <c r="BH40" s="374"/>
      <c r="BI40" s="387"/>
      <c r="BJ40" s="385">
        <v>0</v>
      </c>
      <c r="BK40" s="386"/>
      <c r="BL40" s="373"/>
      <c r="BM40" s="374"/>
      <c r="BN40" s="387"/>
      <c r="BO40" s="385">
        <v>0</v>
      </c>
      <c r="BP40" s="386"/>
      <c r="BQ40" s="373"/>
      <c r="BR40" s="374"/>
      <c r="BS40" s="387"/>
      <c r="BT40" s="385">
        <f>SUM(L40:BO40)</f>
        <v>0</v>
      </c>
      <c r="BU40" s="386"/>
      <c r="BV40" s="373"/>
      <c r="BW40" s="9"/>
    </row>
    <row r="41" spans="4:75" ht="12.75" customHeight="1" x14ac:dyDescent="0.2">
      <c r="D41" s="44"/>
      <c r="E41" s="413"/>
      <c r="F41" s="32"/>
      <c r="G41" s="373"/>
      <c r="H41" s="373"/>
      <c r="I41" s="373"/>
      <c r="J41" s="374"/>
      <c r="K41" s="373"/>
      <c r="L41" s="373"/>
      <c r="M41" s="373"/>
      <c r="N41" s="373"/>
      <c r="O41" s="374"/>
      <c r="P41" s="373"/>
      <c r="Q41" s="373"/>
      <c r="R41" s="373"/>
      <c r="S41" s="373"/>
      <c r="T41" s="374"/>
      <c r="U41" s="373"/>
      <c r="V41" s="373"/>
      <c r="W41" s="373"/>
      <c r="X41" s="373"/>
      <c r="Y41" s="374"/>
      <c r="Z41" s="373"/>
      <c r="AA41" s="373"/>
      <c r="AB41" s="373"/>
      <c r="AC41" s="373"/>
      <c r="AD41" s="374"/>
      <c r="AE41" s="373"/>
      <c r="AF41" s="373"/>
      <c r="AG41" s="373"/>
      <c r="AH41" s="373"/>
      <c r="AI41" s="374"/>
      <c r="AJ41" s="373"/>
      <c r="AK41" s="373"/>
      <c r="AL41" s="373"/>
      <c r="AM41" s="373"/>
      <c r="AN41" s="374"/>
      <c r="AO41" s="373"/>
      <c r="AP41" s="373"/>
      <c r="AQ41" s="373"/>
      <c r="AR41" s="373"/>
      <c r="AS41" s="374"/>
      <c r="AT41" s="373"/>
      <c r="AU41" s="373"/>
      <c r="AV41" s="373"/>
      <c r="AW41" s="373"/>
      <c r="AX41" s="374"/>
      <c r="AY41" s="373"/>
      <c r="AZ41" s="373"/>
      <c r="BA41" s="373"/>
      <c r="BB41" s="373"/>
      <c r="BC41" s="374"/>
      <c r="BD41" s="373"/>
      <c r="BE41" s="373"/>
      <c r="BF41" s="373"/>
      <c r="BG41" s="373"/>
      <c r="BH41" s="374"/>
      <c r="BI41" s="373"/>
      <c r="BJ41" s="373"/>
      <c r="BK41" s="373"/>
      <c r="BL41" s="373"/>
      <c r="BM41" s="374"/>
      <c r="BN41" s="373"/>
      <c r="BO41" s="373"/>
      <c r="BP41" s="373"/>
      <c r="BQ41" s="373"/>
      <c r="BR41" s="374"/>
      <c r="BS41" s="373"/>
      <c r="BT41" s="373"/>
      <c r="BU41" s="373"/>
      <c r="BV41" s="373"/>
      <c r="BW41" s="9"/>
    </row>
    <row r="42" spans="4:75" ht="12.75" customHeight="1" x14ac:dyDescent="0.2">
      <c r="D42" s="9" t="s">
        <v>450</v>
      </c>
      <c r="E42" s="156"/>
      <c r="G42" s="373">
        <v>0</v>
      </c>
      <c r="H42" s="373"/>
      <c r="I42" s="373"/>
      <c r="J42" s="374"/>
      <c r="K42" s="373"/>
      <c r="L42" s="373">
        <f>L43+L45</f>
        <v>0</v>
      </c>
      <c r="M42" s="373"/>
      <c r="N42" s="373"/>
      <c r="O42" s="374"/>
      <c r="P42" s="373"/>
      <c r="Q42" s="373">
        <f>SUM(Q43:Q45)</f>
        <v>0</v>
      </c>
      <c r="R42" s="373"/>
      <c r="S42" s="373"/>
      <c r="T42" s="374"/>
      <c r="U42" s="373"/>
      <c r="V42" s="373">
        <f>V43+V45</f>
        <v>0</v>
      </c>
      <c r="W42" s="373"/>
      <c r="X42" s="373"/>
      <c r="Y42" s="374"/>
      <c r="Z42" s="373"/>
      <c r="AA42" s="373">
        <f>AA43+AA45</f>
        <v>70521584</v>
      </c>
      <c r="AB42" s="373"/>
      <c r="AC42" s="373"/>
      <c r="AD42" s="374"/>
      <c r="AE42" s="373"/>
      <c r="AF42" s="373">
        <f>AF43+AF45</f>
        <v>0</v>
      </c>
      <c r="AG42" s="373"/>
      <c r="AH42" s="373"/>
      <c r="AI42" s="374"/>
      <c r="AJ42" s="373"/>
      <c r="AK42" s="373">
        <f>AK43+AK45</f>
        <v>0</v>
      </c>
      <c r="AL42" s="373"/>
      <c r="AM42" s="373"/>
      <c r="AN42" s="374"/>
      <c r="AO42" s="373"/>
      <c r="AP42" s="373">
        <f>AP43+AP45</f>
        <v>0</v>
      </c>
      <c r="AQ42" s="373"/>
      <c r="AR42" s="373"/>
      <c r="AS42" s="374"/>
      <c r="AT42" s="373"/>
      <c r="AU42" s="373">
        <f>AU43+AU45</f>
        <v>0</v>
      </c>
      <c r="AV42" s="373"/>
      <c r="AW42" s="373"/>
      <c r="AX42" s="374"/>
      <c r="AY42" s="373"/>
      <c r="AZ42" s="373">
        <f>AZ43+AZ45</f>
        <v>0</v>
      </c>
      <c r="BA42" s="373"/>
      <c r="BB42" s="373"/>
      <c r="BC42" s="374"/>
      <c r="BD42" s="373"/>
      <c r="BE42" s="373">
        <f>BE43+BE45</f>
        <v>0</v>
      </c>
      <c r="BF42" s="373"/>
      <c r="BG42" s="373"/>
      <c r="BH42" s="374"/>
      <c r="BI42" s="373"/>
      <c r="BJ42" s="373">
        <f>BJ43+BJ45</f>
        <v>0</v>
      </c>
      <c r="BK42" s="373"/>
      <c r="BL42" s="373"/>
      <c r="BM42" s="374"/>
      <c r="BN42" s="373"/>
      <c r="BO42" s="373">
        <f>BO43+BO45</f>
        <v>0</v>
      </c>
      <c r="BP42" s="373"/>
      <c r="BQ42" s="373"/>
      <c r="BR42" s="374"/>
      <c r="BS42" s="373"/>
      <c r="BT42" s="373">
        <f>SUM(BT43:BT45)</f>
        <v>70521584</v>
      </c>
      <c r="BU42" s="373"/>
      <c r="BV42" s="373"/>
      <c r="BW42" s="9"/>
    </row>
    <row r="43" spans="4:75" ht="12.75" customHeight="1" x14ac:dyDescent="0.2">
      <c r="D43" s="9" t="s">
        <v>343</v>
      </c>
      <c r="E43" s="156"/>
      <c r="F43" s="309"/>
      <c r="G43" s="371">
        <v>0</v>
      </c>
      <c r="H43" s="372"/>
      <c r="I43" s="373"/>
      <c r="J43" s="374"/>
      <c r="K43" s="375"/>
      <c r="L43" s="371">
        <v>0</v>
      </c>
      <c r="M43" s="372"/>
      <c r="N43" s="373"/>
      <c r="O43" s="374"/>
      <c r="P43" s="375"/>
      <c r="Q43" s="371">
        <v>0</v>
      </c>
      <c r="R43" s="372"/>
      <c r="S43" s="373"/>
      <c r="T43" s="374"/>
      <c r="U43" s="375"/>
      <c r="V43" s="371">
        <v>0</v>
      </c>
      <c r="W43" s="372"/>
      <c r="X43" s="373"/>
      <c r="Y43" s="374"/>
      <c r="Z43" s="375"/>
      <c r="AA43" s="371">
        <v>70521584</v>
      </c>
      <c r="AB43" s="372"/>
      <c r="AC43" s="373"/>
      <c r="AD43" s="374"/>
      <c r="AE43" s="375"/>
      <c r="AF43" s="371">
        <v>0</v>
      </c>
      <c r="AG43" s="372"/>
      <c r="AH43" s="373"/>
      <c r="AI43" s="374"/>
      <c r="AJ43" s="375"/>
      <c r="AK43" s="371">
        <v>0</v>
      </c>
      <c r="AL43" s="372"/>
      <c r="AM43" s="373"/>
      <c r="AN43" s="374"/>
      <c r="AO43" s="375"/>
      <c r="AP43" s="371">
        <v>0</v>
      </c>
      <c r="AQ43" s="372"/>
      <c r="AR43" s="373"/>
      <c r="AS43" s="374"/>
      <c r="AT43" s="375"/>
      <c r="AU43" s="371">
        <v>0</v>
      </c>
      <c r="AV43" s="372"/>
      <c r="AW43" s="373"/>
      <c r="AX43" s="374"/>
      <c r="AY43" s="375"/>
      <c r="AZ43" s="371">
        <v>0</v>
      </c>
      <c r="BA43" s="372"/>
      <c r="BB43" s="373"/>
      <c r="BC43" s="374"/>
      <c r="BD43" s="375"/>
      <c r="BE43" s="371">
        <v>0</v>
      </c>
      <c r="BF43" s="372"/>
      <c r="BG43" s="373"/>
      <c r="BH43" s="374"/>
      <c r="BI43" s="375"/>
      <c r="BJ43" s="371">
        <v>0</v>
      </c>
      <c r="BK43" s="372"/>
      <c r="BL43" s="373"/>
      <c r="BM43" s="374"/>
      <c r="BN43" s="375"/>
      <c r="BO43" s="371">
        <v>0</v>
      </c>
      <c r="BP43" s="372"/>
      <c r="BQ43" s="373"/>
      <c r="BR43" s="374"/>
      <c r="BS43" s="375"/>
      <c r="BT43" s="371">
        <f>SUM(L43:BO43)</f>
        <v>70521584</v>
      </c>
      <c r="BU43" s="372"/>
      <c r="BV43" s="373"/>
      <c r="BW43" s="9"/>
    </row>
    <row r="44" spans="4:75" ht="12.75" customHeight="1" x14ac:dyDescent="0.2">
      <c r="D44" s="9" t="s">
        <v>345</v>
      </c>
      <c r="E44" s="156"/>
      <c r="F44" s="156"/>
      <c r="G44" s="373">
        <v>0</v>
      </c>
      <c r="H44" s="377"/>
      <c r="I44" s="373"/>
      <c r="J44" s="374"/>
      <c r="K44" s="374"/>
      <c r="L44" s="373">
        <v>0</v>
      </c>
      <c r="M44" s="377"/>
      <c r="N44" s="373"/>
      <c r="O44" s="374"/>
      <c r="P44" s="374"/>
      <c r="Q44" s="373">
        <v>0</v>
      </c>
      <c r="R44" s="377"/>
      <c r="S44" s="373"/>
      <c r="T44" s="374"/>
      <c r="U44" s="374"/>
      <c r="V44" s="373">
        <v>0</v>
      </c>
      <c r="W44" s="377"/>
      <c r="X44" s="373"/>
      <c r="Y44" s="374"/>
      <c r="Z44" s="374"/>
      <c r="AA44" s="373">
        <v>0</v>
      </c>
      <c r="AB44" s="377"/>
      <c r="AC44" s="373"/>
      <c r="AD44" s="374"/>
      <c r="AE44" s="374"/>
      <c r="AF44" s="373">
        <v>0</v>
      </c>
      <c r="AG44" s="377"/>
      <c r="AH44" s="373"/>
      <c r="AI44" s="374"/>
      <c r="AJ44" s="374"/>
      <c r="AK44" s="373">
        <v>0</v>
      </c>
      <c r="AL44" s="377"/>
      <c r="AM44" s="373"/>
      <c r="AN44" s="374"/>
      <c r="AO44" s="374"/>
      <c r="AP44" s="373">
        <v>0</v>
      </c>
      <c r="AQ44" s="377"/>
      <c r="AR44" s="373"/>
      <c r="AS44" s="374"/>
      <c r="AT44" s="374"/>
      <c r="AU44" s="373">
        <v>0</v>
      </c>
      <c r="AV44" s="377"/>
      <c r="AW44" s="373"/>
      <c r="AX44" s="374"/>
      <c r="AY44" s="374"/>
      <c r="AZ44" s="373">
        <v>0</v>
      </c>
      <c r="BA44" s="377"/>
      <c r="BB44" s="373"/>
      <c r="BC44" s="374"/>
      <c r="BD44" s="374"/>
      <c r="BE44" s="373">
        <v>0</v>
      </c>
      <c r="BF44" s="377"/>
      <c r="BG44" s="373"/>
      <c r="BH44" s="374"/>
      <c r="BI44" s="374"/>
      <c r="BJ44" s="373">
        <v>0</v>
      </c>
      <c r="BK44" s="377"/>
      <c r="BL44" s="373"/>
      <c r="BM44" s="374"/>
      <c r="BN44" s="374"/>
      <c r="BO44" s="373">
        <v>0</v>
      </c>
      <c r="BP44" s="377"/>
      <c r="BQ44" s="373"/>
      <c r="BR44" s="374"/>
      <c r="BS44" s="374"/>
      <c r="BT44" s="373">
        <f>SUM(L44:BO44)</f>
        <v>0</v>
      </c>
      <c r="BU44" s="377"/>
      <c r="BV44" s="373"/>
      <c r="BW44" s="9"/>
    </row>
    <row r="45" spans="4:75" ht="12.75" customHeight="1" x14ac:dyDescent="0.2">
      <c r="D45" s="9" t="s">
        <v>353</v>
      </c>
      <c r="E45" s="156"/>
      <c r="F45" s="320"/>
      <c r="G45" s="385">
        <v>0</v>
      </c>
      <c r="H45" s="386"/>
      <c r="I45" s="373"/>
      <c r="J45" s="374"/>
      <c r="K45" s="387"/>
      <c r="L45" s="385">
        <v>0</v>
      </c>
      <c r="M45" s="386"/>
      <c r="N45" s="373"/>
      <c r="O45" s="374"/>
      <c r="P45" s="387"/>
      <c r="Q45" s="385">
        <v>0</v>
      </c>
      <c r="R45" s="386"/>
      <c r="S45" s="373"/>
      <c r="T45" s="374"/>
      <c r="U45" s="387"/>
      <c r="V45" s="385">
        <v>0</v>
      </c>
      <c r="W45" s="386"/>
      <c r="X45" s="373"/>
      <c r="Y45" s="374"/>
      <c r="Z45" s="387"/>
      <c r="AA45" s="385">
        <v>0</v>
      </c>
      <c r="AB45" s="386"/>
      <c r="AC45" s="373"/>
      <c r="AD45" s="374"/>
      <c r="AE45" s="387"/>
      <c r="AF45" s="385">
        <v>0</v>
      </c>
      <c r="AG45" s="386"/>
      <c r="AH45" s="373"/>
      <c r="AI45" s="374"/>
      <c r="AJ45" s="387"/>
      <c r="AK45" s="385">
        <v>0</v>
      </c>
      <c r="AL45" s="386"/>
      <c r="AM45" s="373"/>
      <c r="AN45" s="374"/>
      <c r="AO45" s="387"/>
      <c r="AP45" s="385">
        <v>0</v>
      </c>
      <c r="AQ45" s="386"/>
      <c r="AR45" s="373"/>
      <c r="AS45" s="374"/>
      <c r="AT45" s="387"/>
      <c r="AU45" s="385">
        <v>0</v>
      </c>
      <c r="AV45" s="386"/>
      <c r="AW45" s="373"/>
      <c r="AX45" s="374"/>
      <c r="AY45" s="387"/>
      <c r="AZ45" s="385">
        <v>0</v>
      </c>
      <c r="BA45" s="386"/>
      <c r="BB45" s="373"/>
      <c r="BC45" s="374"/>
      <c r="BD45" s="387"/>
      <c r="BE45" s="385">
        <v>0</v>
      </c>
      <c r="BF45" s="386"/>
      <c r="BG45" s="373"/>
      <c r="BH45" s="374"/>
      <c r="BI45" s="387"/>
      <c r="BJ45" s="385">
        <v>0</v>
      </c>
      <c r="BK45" s="386"/>
      <c r="BL45" s="373"/>
      <c r="BM45" s="374"/>
      <c r="BN45" s="387"/>
      <c r="BO45" s="385">
        <v>0</v>
      </c>
      <c r="BP45" s="386"/>
      <c r="BQ45" s="373"/>
      <c r="BR45" s="374"/>
      <c r="BS45" s="387"/>
      <c r="BT45" s="385">
        <f>SUM(L45:BO45)</f>
        <v>0</v>
      </c>
      <c r="BU45" s="386"/>
      <c r="BV45" s="373"/>
      <c r="BW45" s="9"/>
    </row>
    <row r="46" spans="4:75" ht="12.75" customHeight="1" x14ac:dyDescent="0.2">
      <c r="D46" s="44"/>
      <c r="E46" s="413"/>
      <c r="F46" s="32"/>
      <c r="G46" s="373"/>
      <c r="H46" s="373"/>
      <c r="I46" s="373"/>
      <c r="J46" s="374"/>
      <c r="K46" s="373"/>
      <c r="L46" s="373"/>
      <c r="M46" s="373"/>
      <c r="N46" s="373"/>
      <c r="O46" s="374"/>
      <c r="P46" s="373"/>
      <c r="Q46" s="373"/>
      <c r="R46" s="373"/>
      <c r="S46" s="373"/>
      <c r="T46" s="374"/>
      <c r="U46" s="373"/>
      <c r="V46" s="373"/>
      <c r="W46" s="373"/>
      <c r="X46" s="373"/>
      <c r="Y46" s="374"/>
      <c r="Z46" s="373"/>
      <c r="AA46" s="373"/>
      <c r="AB46" s="373"/>
      <c r="AC46" s="373"/>
      <c r="AD46" s="374"/>
      <c r="AE46" s="373"/>
      <c r="AF46" s="373"/>
      <c r="AG46" s="373"/>
      <c r="AH46" s="373"/>
      <c r="AI46" s="374"/>
      <c r="AJ46" s="373"/>
      <c r="AK46" s="373"/>
      <c r="AL46" s="373"/>
      <c r="AM46" s="373"/>
      <c r="AN46" s="374"/>
      <c r="AO46" s="373"/>
      <c r="AP46" s="373"/>
      <c r="AQ46" s="373"/>
      <c r="AR46" s="373"/>
      <c r="AS46" s="374"/>
      <c r="AT46" s="373"/>
      <c r="AU46" s="373"/>
      <c r="AV46" s="373"/>
      <c r="AW46" s="373"/>
      <c r="AX46" s="374"/>
      <c r="AY46" s="373"/>
      <c r="AZ46" s="373"/>
      <c r="BA46" s="373"/>
      <c r="BB46" s="373"/>
      <c r="BC46" s="374"/>
      <c r="BD46" s="373"/>
      <c r="BE46" s="373"/>
      <c r="BF46" s="373"/>
      <c r="BG46" s="373"/>
      <c r="BH46" s="374"/>
      <c r="BI46" s="373"/>
      <c r="BJ46" s="373"/>
      <c r="BK46" s="373"/>
      <c r="BL46" s="373"/>
      <c r="BM46" s="374"/>
      <c r="BN46" s="373"/>
      <c r="BO46" s="373"/>
      <c r="BP46" s="373"/>
      <c r="BQ46" s="373"/>
      <c r="BR46" s="374"/>
      <c r="BS46" s="373"/>
      <c r="BT46" s="373"/>
      <c r="BU46" s="373"/>
      <c r="BV46" s="373"/>
      <c r="BW46" s="9"/>
    </row>
    <row r="47" spans="4:75" ht="12.75" hidden="1" customHeight="1" x14ac:dyDescent="0.2">
      <c r="D47" s="9" t="s">
        <v>451</v>
      </c>
      <c r="E47" s="156"/>
      <c r="G47" s="373">
        <v>0</v>
      </c>
      <c r="H47" s="373"/>
      <c r="I47" s="373"/>
      <c r="J47" s="374"/>
      <c r="K47" s="373"/>
      <c r="L47" s="373">
        <f>L48+L50</f>
        <v>0</v>
      </c>
      <c r="M47" s="373"/>
      <c r="N47" s="373"/>
      <c r="O47" s="374"/>
      <c r="P47" s="373"/>
      <c r="Q47" s="373">
        <f>Q48+Q50</f>
        <v>0</v>
      </c>
      <c r="R47" s="373"/>
      <c r="S47" s="373"/>
      <c r="T47" s="374"/>
      <c r="U47" s="373"/>
      <c r="V47" s="373">
        <f>V48+V50</f>
        <v>0</v>
      </c>
      <c r="W47" s="373"/>
      <c r="X47" s="373"/>
      <c r="Y47" s="374"/>
      <c r="Z47" s="373"/>
      <c r="AA47" s="373">
        <f>AA48+AA50</f>
        <v>0</v>
      </c>
      <c r="AB47" s="373"/>
      <c r="AC47" s="373"/>
      <c r="AD47" s="374"/>
      <c r="AE47" s="373"/>
      <c r="AF47" s="373">
        <f>AF48+AF50</f>
        <v>0</v>
      </c>
      <c r="AG47" s="373"/>
      <c r="AH47" s="373"/>
      <c r="AI47" s="374"/>
      <c r="AJ47" s="373"/>
      <c r="AK47" s="373">
        <f>AK48+AK50</f>
        <v>0</v>
      </c>
      <c r="AL47" s="373"/>
      <c r="AM47" s="373"/>
      <c r="AN47" s="374"/>
      <c r="AO47" s="373"/>
      <c r="AP47" s="373">
        <f>AP48+AP50</f>
        <v>0</v>
      </c>
      <c r="AQ47" s="373"/>
      <c r="AR47" s="373"/>
      <c r="AS47" s="374"/>
      <c r="AT47" s="373"/>
      <c r="AU47" s="373">
        <f>AU48+AU50</f>
        <v>0</v>
      </c>
      <c r="AV47" s="373"/>
      <c r="AW47" s="373"/>
      <c r="AX47" s="374"/>
      <c r="AY47" s="373"/>
      <c r="AZ47" s="373">
        <f>AZ48+AZ50</f>
        <v>0</v>
      </c>
      <c r="BA47" s="373"/>
      <c r="BB47" s="373"/>
      <c r="BC47" s="374"/>
      <c r="BD47" s="373"/>
      <c r="BE47" s="373">
        <f>BE48+BE50</f>
        <v>0</v>
      </c>
      <c r="BF47" s="373"/>
      <c r="BG47" s="373"/>
      <c r="BH47" s="374"/>
      <c r="BI47" s="373"/>
      <c r="BJ47" s="373">
        <f>BJ48+BJ50</f>
        <v>0</v>
      </c>
      <c r="BK47" s="373"/>
      <c r="BL47" s="373"/>
      <c r="BM47" s="374"/>
      <c r="BN47" s="373"/>
      <c r="BO47" s="373">
        <f>BO48+BO50</f>
        <v>0</v>
      </c>
      <c r="BP47" s="373"/>
      <c r="BQ47" s="373"/>
      <c r="BR47" s="374"/>
      <c r="BS47" s="373"/>
      <c r="BT47" s="373">
        <f>SUM(BT48:BT50)</f>
        <v>0</v>
      </c>
      <c r="BU47" s="373"/>
      <c r="BV47" s="373"/>
      <c r="BW47" s="9"/>
    </row>
    <row r="48" spans="4:75" ht="12.75" hidden="1" customHeight="1" x14ac:dyDescent="0.2">
      <c r="D48" s="9" t="s">
        <v>343</v>
      </c>
      <c r="E48" s="156"/>
      <c r="F48" s="309"/>
      <c r="G48" s="371">
        <v>0</v>
      </c>
      <c r="H48" s="372"/>
      <c r="I48" s="373"/>
      <c r="J48" s="374"/>
      <c r="K48" s="375"/>
      <c r="L48" s="371">
        <v>0</v>
      </c>
      <c r="M48" s="372"/>
      <c r="N48" s="373"/>
      <c r="O48" s="374"/>
      <c r="P48" s="375"/>
      <c r="Q48" s="371">
        <v>0</v>
      </c>
      <c r="R48" s="372"/>
      <c r="S48" s="373"/>
      <c r="T48" s="374"/>
      <c r="U48" s="375"/>
      <c r="V48" s="371">
        <v>0</v>
      </c>
      <c r="W48" s="372"/>
      <c r="X48" s="373"/>
      <c r="Y48" s="374"/>
      <c r="Z48" s="375"/>
      <c r="AA48" s="371">
        <v>0</v>
      </c>
      <c r="AB48" s="372"/>
      <c r="AC48" s="373"/>
      <c r="AD48" s="374"/>
      <c r="AE48" s="375"/>
      <c r="AF48" s="371">
        <v>0</v>
      </c>
      <c r="AG48" s="372"/>
      <c r="AH48" s="373"/>
      <c r="AI48" s="374"/>
      <c r="AJ48" s="375"/>
      <c r="AK48" s="371">
        <v>0</v>
      </c>
      <c r="AL48" s="372"/>
      <c r="AM48" s="373"/>
      <c r="AN48" s="374"/>
      <c r="AO48" s="375"/>
      <c r="AP48" s="371">
        <v>0</v>
      </c>
      <c r="AQ48" s="372"/>
      <c r="AR48" s="373"/>
      <c r="AS48" s="374"/>
      <c r="AT48" s="375"/>
      <c r="AU48" s="371">
        <v>0</v>
      </c>
      <c r="AV48" s="372"/>
      <c r="AW48" s="373"/>
      <c r="AX48" s="374"/>
      <c r="AY48" s="375"/>
      <c r="AZ48" s="371">
        <v>0</v>
      </c>
      <c r="BA48" s="372"/>
      <c r="BB48" s="373"/>
      <c r="BC48" s="374"/>
      <c r="BD48" s="375"/>
      <c r="BE48" s="371">
        <v>0</v>
      </c>
      <c r="BF48" s="372"/>
      <c r="BG48" s="373"/>
      <c r="BH48" s="374"/>
      <c r="BI48" s="375"/>
      <c r="BJ48" s="371">
        <v>0</v>
      </c>
      <c r="BK48" s="372"/>
      <c r="BL48" s="373"/>
      <c r="BM48" s="374"/>
      <c r="BN48" s="375"/>
      <c r="BO48" s="371">
        <v>0</v>
      </c>
      <c r="BP48" s="372"/>
      <c r="BQ48" s="373"/>
      <c r="BR48" s="374"/>
      <c r="BS48" s="375"/>
      <c r="BT48" s="371">
        <f>SUM(L48:BO48)</f>
        <v>0</v>
      </c>
      <c r="BU48" s="372"/>
      <c r="BV48" s="373"/>
      <c r="BW48" s="9"/>
    </row>
    <row r="49" spans="4:78" ht="12.75" hidden="1" customHeight="1" x14ac:dyDescent="0.2">
      <c r="D49" s="9" t="s">
        <v>345</v>
      </c>
      <c r="E49" s="156"/>
      <c r="F49" s="156"/>
      <c r="G49" s="373">
        <v>0</v>
      </c>
      <c r="H49" s="377"/>
      <c r="I49" s="373"/>
      <c r="J49" s="374"/>
      <c r="K49" s="374"/>
      <c r="L49" s="373">
        <v>0</v>
      </c>
      <c r="M49" s="377"/>
      <c r="N49" s="373"/>
      <c r="O49" s="374"/>
      <c r="P49" s="374"/>
      <c r="Q49" s="373">
        <v>0</v>
      </c>
      <c r="R49" s="377"/>
      <c r="S49" s="373"/>
      <c r="T49" s="374"/>
      <c r="U49" s="374"/>
      <c r="V49" s="373">
        <v>0</v>
      </c>
      <c r="W49" s="377"/>
      <c r="X49" s="373"/>
      <c r="Y49" s="374"/>
      <c r="Z49" s="374"/>
      <c r="AA49" s="373">
        <v>0</v>
      </c>
      <c r="AB49" s="377"/>
      <c r="AC49" s="373"/>
      <c r="AD49" s="374"/>
      <c r="AE49" s="374"/>
      <c r="AF49" s="373">
        <v>0</v>
      </c>
      <c r="AG49" s="377"/>
      <c r="AH49" s="373"/>
      <c r="AI49" s="374"/>
      <c r="AJ49" s="374"/>
      <c r="AK49" s="373">
        <v>0</v>
      </c>
      <c r="AL49" s="377"/>
      <c r="AM49" s="373"/>
      <c r="AN49" s="374"/>
      <c r="AO49" s="374"/>
      <c r="AP49" s="373">
        <v>0</v>
      </c>
      <c r="AQ49" s="377"/>
      <c r="AR49" s="373"/>
      <c r="AS49" s="374"/>
      <c r="AT49" s="374"/>
      <c r="AU49" s="373">
        <v>0</v>
      </c>
      <c r="AV49" s="377"/>
      <c r="AW49" s="373"/>
      <c r="AX49" s="374"/>
      <c r="AY49" s="374"/>
      <c r="AZ49" s="373">
        <v>0</v>
      </c>
      <c r="BA49" s="377"/>
      <c r="BB49" s="373"/>
      <c r="BC49" s="374"/>
      <c r="BD49" s="374"/>
      <c r="BE49" s="373">
        <v>0</v>
      </c>
      <c r="BF49" s="377"/>
      <c r="BG49" s="373"/>
      <c r="BH49" s="374"/>
      <c r="BI49" s="374"/>
      <c r="BJ49" s="373">
        <v>0</v>
      </c>
      <c r="BK49" s="377"/>
      <c r="BL49" s="373"/>
      <c r="BM49" s="374"/>
      <c r="BN49" s="374"/>
      <c r="BO49" s="373">
        <v>0</v>
      </c>
      <c r="BP49" s="377"/>
      <c r="BQ49" s="373"/>
      <c r="BR49" s="374"/>
      <c r="BS49" s="374"/>
      <c r="BT49" s="373">
        <f>SUM(L49:BO49)</f>
        <v>0</v>
      </c>
      <c r="BU49" s="377"/>
      <c r="BV49" s="373"/>
      <c r="BW49" s="9"/>
    </row>
    <row r="50" spans="4:78" ht="12.75" hidden="1" customHeight="1" x14ac:dyDescent="0.2">
      <c r="D50" s="9" t="s">
        <v>353</v>
      </c>
      <c r="E50" s="156"/>
      <c r="F50" s="320"/>
      <c r="G50" s="385">
        <v>0</v>
      </c>
      <c r="H50" s="386"/>
      <c r="I50" s="373"/>
      <c r="J50" s="374"/>
      <c r="K50" s="387"/>
      <c r="L50" s="385">
        <v>0</v>
      </c>
      <c r="M50" s="386"/>
      <c r="N50" s="373"/>
      <c r="O50" s="374"/>
      <c r="P50" s="387"/>
      <c r="Q50" s="385">
        <v>0</v>
      </c>
      <c r="R50" s="386"/>
      <c r="S50" s="373"/>
      <c r="T50" s="374"/>
      <c r="U50" s="387"/>
      <c r="V50" s="385">
        <v>0</v>
      </c>
      <c r="W50" s="386"/>
      <c r="X50" s="373"/>
      <c r="Y50" s="374"/>
      <c r="Z50" s="387"/>
      <c r="AA50" s="385">
        <v>0</v>
      </c>
      <c r="AB50" s="386"/>
      <c r="AC50" s="373"/>
      <c r="AD50" s="374"/>
      <c r="AE50" s="387"/>
      <c r="AF50" s="385">
        <v>0</v>
      </c>
      <c r="AG50" s="386"/>
      <c r="AH50" s="373"/>
      <c r="AI50" s="374"/>
      <c r="AJ50" s="387"/>
      <c r="AK50" s="385">
        <v>0</v>
      </c>
      <c r="AL50" s="386"/>
      <c r="AM50" s="373"/>
      <c r="AN50" s="374"/>
      <c r="AO50" s="387"/>
      <c r="AP50" s="385">
        <v>0</v>
      </c>
      <c r="AQ50" s="386"/>
      <c r="AR50" s="373"/>
      <c r="AS50" s="374"/>
      <c r="AT50" s="387"/>
      <c r="AU50" s="385">
        <v>0</v>
      </c>
      <c r="AV50" s="386"/>
      <c r="AW50" s="373"/>
      <c r="AX50" s="374"/>
      <c r="AY50" s="387"/>
      <c r="AZ50" s="385">
        <v>0</v>
      </c>
      <c r="BA50" s="386"/>
      <c r="BB50" s="373"/>
      <c r="BC50" s="374"/>
      <c r="BD50" s="387"/>
      <c r="BE50" s="385">
        <v>0</v>
      </c>
      <c r="BF50" s="386"/>
      <c r="BG50" s="373"/>
      <c r="BH50" s="374"/>
      <c r="BI50" s="387"/>
      <c r="BJ50" s="385">
        <v>0</v>
      </c>
      <c r="BK50" s="386"/>
      <c r="BL50" s="373"/>
      <c r="BM50" s="374"/>
      <c r="BN50" s="387"/>
      <c r="BO50" s="385">
        <v>0</v>
      </c>
      <c r="BP50" s="386"/>
      <c r="BQ50" s="373"/>
      <c r="BR50" s="374"/>
      <c r="BS50" s="387"/>
      <c r="BT50" s="385">
        <f>SUM(L50:BO50)</f>
        <v>0</v>
      </c>
      <c r="BU50" s="386"/>
      <c r="BV50" s="373"/>
      <c r="BW50" s="9"/>
    </row>
    <row r="51" spans="4:78" ht="12.75" hidden="1" customHeight="1" x14ac:dyDescent="0.2">
      <c r="D51" s="44"/>
      <c r="E51" s="413"/>
      <c r="F51" s="32"/>
      <c r="G51" s="373"/>
      <c r="H51" s="373"/>
      <c r="I51" s="373"/>
      <c r="J51" s="374"/>
      <c r="K51" s="373"/>
      <c r="L51" s="373"/>
      <c r="M51" s="373"/>
      <c r="N51" s="373"/>
      <c r="O51" s="374"/>
      <c r="P51" s="373"/>
      <c r="Q51" s="373"/>
      <c r="R51" s="373"/>
      <c r="S51" s="373"/>
      <c r="T51" s="374"/>
      <c r="U51" s="373"/>
      <c r="V51" s="373"/>
      <c r="W51" s="373"/>
      <c r="X51" s="373"/>
      <c r="Y51" s="374"/>
      <c r="Z51" s="373"/>
      <c r="AA51" s="373"/>
      <c r="AB51" s="373"/>
      <c r="AC51" s="373"/>
      <c r="AD51" s="374"/>
      <c r="AE51" s="373"/>
      <c r="AF51" s="373"/>
      <c r="AG51" s="373"/>
      <c r="AH51" s="373"/>
      <c r="AI51" s="374"/>
      <c r="AJ51" s="373"/>
      <c r="AK51" s="373"/>
      <c r="AL51" s="373"/>
      <c r="AM51" s="373"/>
      <c r="AN51" s="374"/>
      <c r="AO51" s="373"/>
      <c r="AP51" s="373"/>
      <c r="AQ51" s="373"/>
      <c r="AR51" s="373"/>
      <c r="AS51" s="374"/>
      <c r="AT51" s="373"/>
      <c r="AU51" s="373"/>
      <c r="AV51" s="373"/>
      <c r="AW51" s="373"/>
      <c r="AX51" s="374"/>
      <c r="AY51" s="373"/>
      <c r="AZ51" s="373"/>
      <c r="BA51" s="373"/>
      <c r="BB51" s="373"/>
      <c r="BC51" s="374"/>
      <c r="BD51" s="373"/>
      <c r="BE51" s="373"/>
      <c r="BF51" s="373"/>
      <c r="BG51" s="373"/>
      <c r="BH51" s="374"/>
      <c r="BI51" s="373"/>
      <c r="BJ51" s="373"/>
      <c r="BK51" s="373"/>
      <c r="BL51" s="373"/>
      <c r="BM51" s="374"/>
      <c r="BN51" s="373"/>
      <c r="BO51" s="373"/>
      <c r="BP51" s="373"/>
      <c r="BQ51" s="373"/>
      <c r="BR51" s="374"/>
      <c r="BS51" s="373"/>
      <c r="BT51" s="373"/>
      <c r="BU51" s="373"/>
      <c r="BV51" s="373"/>
      <c r="BW51" s="9"/>
    </row>
    <row r="52" spans="4:78" ht="12.75" hidden="1" customHeight="1" x14ac:dyDescent="0.2">
      <c r="D52" s="9" t="s">
        <v>452</v>
      </c>
      <c r="E52" s="156"/>
      <c r="G52" s="373">
        <v>0</v>
      </c>
      <c r="H52" s="373"/>
      <c r="I52" s="373"/>
      <c r="J52" s="374"/>
      <c r="K52" s="373"/>
      <c r="L52" s="373">
        <f>L53+L55</f>
        <v>0</v>
      </c>
      <c r="M52" s="373"/>
      <c r="N52" s="373"/>
      <c r="O52" s="374"/>
      <c r="P52" s="373"/>
      <c r="Q52" s="373">
        <f>Q53+Q55</f>
        <v>0</v>
      </c>
      <c r="R52" s="373"/>
      <c r="S52" s="373"/>
      <c r="T52" s="374"/>
      <c r="U52" s="373"/>
      <c r="V52" s="373">
        <f>V53+V55</f>
        <v>0</v>
      </c>
      <c r="W52" s="373"/>
      <c r="X52" s="373"/>
      <c r="Y52" s="374"/>
      <c r="Z52" s="373"/>
      <c r="AA52" s="373">
        <f>AA53+AA55</f>
        <v>0</v>
      </c>
      <c r="AB52" s="373"/>
      <c r="AC52" s="373"/>
      <c r="AD52" s="374"/>
      <c r="AE52" s="373"/>
      <c r="AF52" s="373">
        <f>AF53+AF55</f>
        <v>0</v>
      </c>
      <c r="AG52" s="373"/>
      <c r="AH52" s="373"/>
      <c r="AI52" s="374"/>
      <c r="AJ52" s="373"/>
      <c r="AK52" s="373">
        <f>AK53+AK55</f>
        <v>0</v>
      </c>
      <c r="AL52" s="373"/>
      <c r="AM52" s="373"/>
      <c r="AN52" s="374"/>
      <c r="AO52" s="373"/>
      <c r="AP52" s="373">
        <f>AP53+AP55</f>
        <v>0</v>
      </c>
      <c r="AQ52" s="373"/>
      <c r="AR52" s="373"/>
      <c r="AS52" s="374"/>
      <c r="AT52" s="373"/>
      <c r="AU52" s="373">
        <f>AU53+AU55</f>
        <v>0</v>
      </c>
      <c r="AV52" s="373"/>
      <c r="AW52" s="373"/>
      <c r="AX52" s="374"/>
      <c r="AY52" s="373"/>
      <c r="AZ52" s="373">
        <f>AZ53+AZ55</f>
        <v>0</v>
      </c>
      <c r="BA52" s="373"/>
      <c r="BB52" s="373"/>
      <c r="BC52" s="374"/>
      <c r="BD52" s="373"/>
      <c r="BE52" s="373">
        <f>BE53+BE55</f>
        <v>0</v>
      </c>
      <c r="BF52" s="373"/>
      <c r="BG52" s="373"/>
      <c r="BH52" s="374"/>
      <c r="BI52" s="373"/>
      <c r="BJ52" s="373">
        <f>BJ53+BJ55</f>
        <v>0</v>
      </c>
      <c r="BK52" s="373"/>
      <c r="BL52" s="373"/>
      <c r="BM52" s="374"/>
      <c r="BN52" s="373"/>
      <c r="BO52" s="373">
        <f>BO53+BO55</f>
        <v>0</v>
      </c>
      <c r="BP52" s="373"/>
      <c r="BQ52" s="373"/>
      <c r="BR52" s="374"/>
      <c r="BS52" s="373"/>
      <c r="BT52" s="373">
        <f>SUM(BT53:BT55)</f>
        <v>0</v>
      </c>
      <c r="BU52" s="373"/>
      <c r="BV52" s="373"/>
      <c r="BW52" s="9"/>
    </row>
    <row r="53" spans="4:78" ht="12.75" hidden="1" customHeight="1" x14ac:dyDescent="0.2">
      <c r="D53" s="9" t="s">
        <v>343</v>
      </c>
      <c r="E53" s="156"/>
      <c r="F53" s="309"/>
      <c r="G53" s="371">
        <v>0</v>
      </c>
      <c r="H53" s="372"/>
      <c r="I53" s="373"/>
      <c r="J53" s="374"/>
      <c r="K53" s="375"/>
      <c r="L53" s="371">
        <v>0</v>
      </c>
      <c r="M53" s="372"/>
      <c r="N53" s="373"/>
      <c r="O53" s="374"/>
      <c r="P53" s="375"/>
      <c r="Q53" s="371">
        <v>0</v>
      </c>
      <c r="R53" s="372"/>
      <c r="S53" s="373"/>
      <c r="T53" s="374"/>
      <c r="U53" s="375"/>
      <c r="V53" s="371">
        <v>0</v>
      </c>
      <c r="W53" s="372"/>
      <c r="X53" s="373"/>
      <c r="Y53" s="374"/>
      <c r="Z53" s="375"/>
      <c r="AA53" s="371">
        <v>0</v>
      </c>
      <c r="AB53" s="372"/>
      <c r="AC53" s="373"/>
      <c r="AD53" s="374"/>
      <c r="AE53" s="375"/>
      <c r="AF53" s="371">
        <v>0</v>
      </c>
      <c r="AG53" s="372"/>
      <c r="AH53" s="373"/>
      <c r="AI53" s="374"/>
      <c r="AJ53" s="375"/>
      <c r="AK53" s="371">
        <v>0</v>
      </c>
      <c r="AL53" s="372"/>
      <c r="AM53" s="373"/>
      <c r="AN53" s="374"/>
      <c r="AO53" s="375"/>
      <c r="AP53" s="371">
        <v>0</v>
      </c>
      <c r="AQ53" s="372"/>
      <c r="AR53" s="373"/>
      <c r="AS53" s="374"/>
      <c r="AT53" s="375"/>
      <c r="AU53" s="371">
        <v>0</v>
      </c>
      <c r="AV53" s="372"/>
      <c r="AW53" s="373"/>
      <c r="AX53" s="374"/>
      <c r="AY53" s="375"/>
      <c r="AZ53" s="371">
        <v>0</v>
      </c>
      <c r="BA53" s="372"/>
      <c r="BB53" s="373"/>
      <c r="BC53" s="374"/>
      <c r="BD53" s="375"/>
      <c r="BE53" s="371">
        <v>0</v>
      </c>
      <c r="BF53" s="372"/>
      <c r="BG53" s="373"/>
      <c r="BH53" s="374"/>
      <c r="BI53" s="375"/>
      <c r="BJ53" s="371">
        <v>0</v>
      </c>
      <c r="BK53" s="372"/>
      <c r="BL53" s="373"/>
      <c r="BM53" s="374"/>
      <c r="BN53" s="375"/>
      <c r="BO53" s="371">
        <v>0</v>
      </c>
      <c r="BP53" s="372"/>
      <c r="BQ53" s="373"/>
      <c r="BR53" s="374"/>
      <c r="BS53" s="375"/>
      <c r="BT53" s="371">
        <f>SUM(L53:BO53)</f>
        <v>0</v>
      </c>
      <c r="BU53" s="372"/>
      <c r="BV53" s="373"/>
      <c r="BW53" s="9"/>
    </row>
    <row r="54" spans="4:78" ht="12.75" hidden="1" customHeight="1" x14ac:dyDescent="0.2">
      <c r="D54" s="9" t="s">
        <v>345</v>
      </c>
      <c r="E54" s="156"/>
      <c r="F54" s="156"/>
      <c r="G54" s="373">
        <v>0</v>
      </c>
      <c r="H54" s="377"/>
      <c r="I54" s="373"/>
      <c r="J54" s="374"/>
      <c r="K54" s="374"/>
      <c r="L54" s="373">
        <v>0</v>
      </c>
      <c r="M54" s="377"/>
      <c r="N54" s="373"/>
      <c r="O54" s="374"/>
      <c r="P54" s="374"/>
      <c r="Q54" s="373">
        <v>0</v>
      </c>
      <c r="R54" s="377"/>
      <c r="S54" s="373"/>
      <c r="T54" s="374"/>
      <c r="U54" s="374"/>
      <c r="V54" s="373">
        <v>0</v>
      </c>
      <c r="W54" s="377"/>
      <c r="X54" s="373"/>
      <c r="Y54" s="374"/>
      <c r="Z54" s="374"/>
      <c r="AA54" s="373">
        <v>0</v>
      </c>
      <c r="AB54" s="377"/>
      <c r="AC54" s="373"/>
      <c r="AD54" s="374"/>
      <c r="AE54" s="374"/>
      <c r="AF54" s="373">
        <v>0</v>
      </c>
      <c r="AG54" s="377"/>
      <c r="AH54" s="373"/>
      <c r="AI54" s="374"/>
      <c r="AJ54" s="374"/>
      <c r="AK54" s="373">
        <v>0</v>
      </c>
      <c r="AL54" s="377"/>
      <c r="AM54" s="373"/>
      <c r="AN54" s="374"/>
      <c r="AO54" s="374"/>
      <c r="AP54" s="373">
        <v>0</v>
      </c>
      <c r="AQ54" s="377"/>
      <c r="AR54" s="373"/>
      <c r="AS54" s="374"/>
      <c r="AT54" s="374"/>
      <c r="AU54" s="373">
        <v>0</v>
      </c>
      <c r="AV54" s="377"/>
      <c r="AW54" s="373"/>
      <c r="AX54" s="374"/>
      <c r="AY54" s="374"/>
      <c r="AZ54" s="373">
        <v>0</v>
      </c>
      <c r="BA54" s="377"/>
      <c r="BB54" s="373"/>
      <c r="BC54" s="374"/>
      <c r="BD54" s="374"/>
      <c r="BE54" s="373">
        <v>0</v>
      </c>
      <c r="BF54" s="377"/>
      <c r="BG54" s="373"/>
      <c r="BH54" s="374"/>
      <c r="BI54" s="374"/>
      <c r="BJ54" s="373">
        <v>0</v>
      </c>
      <c r="BK54" s="377"/>
      <c r="BL54" s="373"/>
      <c r="BM54" s="374"/>
      <c r="BN54" s="374"/>
      <c r="BO54" s="373">
        <v>0</v>
      </c>
      <c r="BP54" s="377"/>
      <c r="BQ54" s="373"/>
      <c r="BR54" s="374"/>
      <c r="BS54" s="374"/>
      <c r="BT54" s="373">
        <f>SUM(L54:BO54)</f>
        <v>0</v>
      </c>
      <c r="BU54" s="377"/>
      <c r="BV54" s="373"/>
      <c r="BW54" s="9"/>
    </row>
    <row r="55" spans="4:78" ht="12.75" hidden="1" customHeight="1" x14ac:dyDescent="0.2">
      <c r="D55" s="9" t="s">
        <v>353</v>
      </c>
      <c r="E55" s="156"/>
      <c r="F55" s="320"/>
      <c r="G55" s="385">
        <v>0</v>
      </c>
      <c r="H55" s="386"/>
      <c r="I55" s="373"/>
      <c r="J55" s="374"/>
      <c r="K55" s="387"/>
      <c r="L55" s="385">
        <v>0</v>
      </c>
      <c r="M55" s="386"/>
      <c r="N55" s="373"/>
      <c r="O55" s="374"/>
      <c r="P55" s="387"/>
      <c r="Q55" s="385">
        <v>0</v>
      </c>
      <c r="R55" s="386"/>
      <c r="S55" s="373"/>
      <c r="T55" s="374"/>
      <c r="U55" s="387"/>
      <c r="V55" s="385">
        <v>0</v>
      </c>
      <c r="W55" s="386"/>
      <c r="X55" s="373"/>
      <c r="Y55" s="374"/>
      <c r="Z55" s="387"/>
      <c r="AA55" s="385">
        <v>0</v>
      </c>
      <c r="AB55" s="386"/>
      <c r="AC55" s="373"/>
      <c r="AD55" s="374"/>
      <c r="AE55" s="387"/>
      <c r="AF55" s="385">
        <v>0</v>
      </c>
      <c r="AG55" s="386"/>
      <c r="AH55" s="373"/>
      <c r="AI55" s="374"/>
      <c r="AJ55" s="387"/>
      <c r="AK55" s="385">
        <v>0</v>
      </c>
      <c r="AL55" s="386"/>
      <c r="AM55" s="373"/>
      <c r="AN55" s="374"/>
      <c r="AO55" s="387"/>
      <c r="AP55" s="385">
        <v>0</v>
      </c>
      <c r="AQ55" s="386"/>
      <c r="AR55" s="373"/>
      <c r="AS55" s="374"/>
      <c r="AT55" s="387"/>
      <c r="AU55" s="385">
        <v>0</v>
      </c>
      <c r="AV55" s="386"/>
      <c r="AW55" s="373"/>
      <c r="AX55" s="374"/>
      <c r="AY55" s="387"/>
      <c r="AZ55" s="385">
        <v>0</v>
      </c>
      <c r="BA55" s="386"/>
      <c r="BB55" s="373"/>
      <c r="BC55" s="374"/>
      <c r="BD55" s="387"/>
      <c r="BE55" s="385">
        <v>0</v>
      </c>
      <c r="BF55" s="386"/>
      <c r="BG55" s="373"/>
      <c r="BH55" s="374"/>
      <c r="BI55" s="387"/>
      <c r="BJ55" s="385">
        <v>0</v>
      </c>
      <c r="BK55" s="386"/>
      <c r="BL55" s="373"/>
      <c r="BM55" s="374"/>
      <c r="BN55" s="387"/>
      <c r="BO55" s="385">
        <v>0</v>
      </c>
      <c r="BP55" s="386"/>
      <c r="BQ55" s="373"/>
      <c r="BR55" s="374"/>
      <c r="BS55" s="387"/>
      <c r="BT55" s="385">
        <f>SUM(L55:BO55)</f>
        <v>0</v>
      </c>
      <c r="BU55" s="386"/>
      <c r="BV55" s="373"/>
      <c r="BW55" s="9"/>
    </row>
    <row r="56" spans="4:78" ht="12.75" hidden="1" customHeight="1" x14ac:dyDescent="0.2">
      <c r="D56" s="9"/>
      <c r="E56" s="156"/>
      <c r="G56" s="373"/>
      <c r="H56" s="373"/>
      <c r="I56" s="373"/>
      <c r="J56" s="374"/>
      <c r="K56" s="373"/>
      <c r="L56" s="373"/>
      <c r="M56" s="373"/>
      <c r="N56" s="373"/>
      <c r="O56" s="374"/>
      <c r="P56" s="373"/>
      <c r="Q56" s="373"/>
      <c r="R56" s="373"/>
      <c r="S56" s="373"/>
      <c r="T56" s="374"/>
      <c r="U56" s="373"/>
      <c r="V56" s="373"/>
      <c r="W56" s="373"/>
      <c r="X56" s="373"/>
      <c r="Y56" s="374"/>
      <c r="Z56" s="373"/>
      <c r="AA56" s="373"/>
      <c r="AB56" s="373"/>
      <c r="AC56" s="373"/>
      <c r="AD56" s="374"/>
      <c r="AE56" s="373"/>
      <c r="AF56" s="373"/>
      <c r="AG56" s="373"/>
      <c r="AH56" s="373"/>
      <c r="AI56" s="374"/>
      <c r="AJ56" s="373"/>
      <c r="AK56" s="373"/>
      <c r="AL56" s="373"/>
      <c r="AM56" s="373"/>
      <c r="AN56" s="374"/>
      <c r="AO56" s="373"/>
      <c r="AP56" s="373"/>
      <c r="AQ56" s="373"/>
      <c r="AR56" s="373"/>
      <c r="AS56" s="374"/>
      <c r="AT56" s="373"/>
      <c r="AU56" s="373"/>
      <c r="AV56" s="373"/>
      <c r="AW56" s="373"/>
      <c r="AX56" s="374"/>
      <c r="AY56" s="373"/>
      <c r="AZ56" s="373"/>
      <c r="BA56" s="373"/>
      <c r="BB56" s="373"/>
      <c r="BC56" s="374"/>
      <c r="BD56" s="373"/>
      <c r="BE56" s="373"/>
      <c r="BF56" s="373"/>
      <c r="BG56" s="373"/>
      <c r="BH56" s="374"/>
      <c r="BI56" s="373"/>
      <c r="BJ56" s="373"/>
      <c r="BK56" s="373"/>
      <c r="BL56" s="373"/>
      <c r="BM56" s="374"/>
      <c r="BN56" s="373"/>
      <c r="BO56" s="373"/>
      <c r="BP56" s="373"/>
      <c r="BQ56" s="373"/>
      <c r="BR56" s="374"/>
      <c r="BS56" s="373"/>
      <c r="BT56" s="373"/>
      <c r="BU56" s="373"/>
      <c r="BV56" s="373"/>
      <c r="BW56" s="9"/>
    </row>
    <row r="57" spans="4:78" ht="12.75" customHeight="1" x14ac:dyDescent="0.2">
      <c r="D57" s="9" t="s">
        <v>453</v>
      </c>
      <c r="E57" s="156"/>
      <c r="G57" s="373">
        <v>0</v>
      </c>
      <c r="H57" s="373"/>
      <c r="I57" s="373"/>
      <c r="J57" s="374"/>
      <c r="K57" s="373"/>
      <c r="L57" s="373">
        <f>SUM(L58:L60)</f>
        <v>0</v>
      </c>
      <c r="M57" s="373"/>
      <c r="N57" s="373"/>
      <c r="O57" s="374"/>
      <c r="P57" s="373"/>
      <c r="Q57" s="373">
        <f>SUM(Q58:Q60)</f>
        <v>0</v>
      </c>
      <c r="R57" s="373"/>
      <c r="S57" s="373"/>
      <c r="T57" s="374"/>
      <c r="U57" s="373"/>
      <c r="V57" s="373">
        <f>SUM(V58:V60)</f>
        <v>0</v>
      </c>
      <c r="W57" s="373"/>
      <c r="X57" s="373"/>
      <c r="Y57" s="374"/>
      <c r="Z57" s="373"/>
      <c r="AA57" s="373">
        <f>SUM(AA58:AA60)</f>
        <v>0</v>
      </c>
      <c r="AB57" s="373"/>
      <c r="AC57" s="373"/>
      <c r="AD57" s="374"/>
      <c r="AE57" s="373"/>
      <c r="AF57" s="373">
        <f>SUM(AF58:AF60)</f>
        <v>0</v>
      </c>
      <c r="AG57" s="373"/>
      <c r="AH57" s="373"/>
      <c r="AI57" s="374"/>
      <c r="AJ57" s="373"/>
      <c r="AK57" s="373">
        <f>SUM(AK58:AK60)</f>
        <v>0</v>
      </c>
      <c r="AL57" s="373"/>
      <c r="AM57" s="373"/>
      <c r="AN57" s="374"/>
      <c r="AO57" s="373"/>
      <c r="AP57" s="373">
        <f>SUM(AP58:AP60)</f>
        <v>5008164</v>
      </c>
      <c r="AQ57" s="373"/>
      <c r="AR57" s="373"/>
      <c r="AS57" s="374"/>
      <c r="AT57" s="373"/>
      <c r="AU57" s="373">
        <f>SUM(AU58:AU60)</f>
        <v>0</v>
      </c>
      <c r="AV57" s="373"/>
      <c r="AW57" s="373"/>
      <c r="AX57" s="374"/>
      <c r="AY57" s="373"/>
      <c r="AZ57" s="373">
        <f>SUM(AZ58:AZ60)</f>
        <v>0</v>
      </c>
      <c r="BA57" s="373"/>
      <c r="BB57" s="373"/>
      <c r="BC57" s="374"/>
      <c r="BD57" s="373"/>
      <c r="BE57" s="373">
        <f>SUM(BE58:BE60)</f>
        <v>0</v>
      </c>
      <c r="BF57" s="373"/>
      <c r="BG57" s="373"/>
      <c r="BH57" s="374"/>
      <c r="BI57" s="373"/>
      <c r="BJ57" s="373">
        <f>SUM(BJ58:BJ60)</f>
        <v>0</v>
      </c>
      <c r="BK57" s="373"/>
      <c r="BL57" s="373"/>
      <c r="BM57" s="374"/>
      <c r="BN57" s="373"/>
      <c r="BO57" s="373">
        <f>SUM(BO58:BO60)</f>
        <v>0</v>
      </c>
      <c r="BP57" s="373"/>
      <c r="BQ57" s="373"/>
      <c r="BR57" s="374"/>
      <c r="BS57" s="373"/>
      <c r="BT57" s="373">
        <f>SUM(BT58:BT60)</f>
        <v>5008164</v>
      </c>
      <c r="BU57" s="373"/>
      <c r="BV57" s="373"/>
      <c r="BW57" s="9"/>
    </row>
    <row r="58" spans="4:78" ht="12.75" customHeight="1" x14ac:dyDescent="0.2">
      <c r="D58" s="9" t="s">
        <v>343</v>
      </c>
      <c r="E58" s="156"/>
      <c r="F58" s="375"/>
      <c r="G58" s="371">
        <v>0</v>
      </c>
      <c r="H58" s="372"/>
      <c r="I58" s="373"/>
      <c r="J58" s="374"/>
      <c r="K58" s="375"/>
      <c r="L58" s="371">
        <v>0</v>
      </c>
      <c r="M58" s="372"/>
      <c r="N58" s="373"/>
      <c r="O58" s="374"/>
      <c r="P58" s="375"/>
      <c r="Q58" s="371">
        <v>0</v>
      </c>
      <c r="R58" s="372"/>
      <c r="S58" s="373"/>
      <c r="T58" s="374"/>
      <c r="U58" s="375"/>
      <c r="V58" s="371">
        <v>0</v>
      </c>
      <c r="W58" s="372"/>
      <c r="X58" s="373"/>
      <c r="Y58" s="374"/>
      <c r="Z58" s="375"/>
      <c r="AA58" s="371">
        <v>0</v>
      </c>
      <c r="AB58" s="372"/>
      <c r="AC58" s="373"/>
      <c r="AD58" s="374"/>
      <c r="AE58" s="375"/>
      <c r="AF58" s="371">
        <v>0</v>
      </c>
      <c r="AG58" s="372"/>
      <c r="AH58" s="373"/>
      <c r="AI58" s="374"/>
      <c r="AJ58" s="375"/>
      <c r="AK58" s="371">
        <v>0</v>
      </c>
      <c r="AL58" s="372"/>
      <c r="AM58" s="373"/>
      <c r="AN58" s="374"/>
      <c r="AO58" s="375"/>
      <c r="AP58" s="371">
        <v>5008164</v>
      </c>
      <c r="AQ58" s="372"/>
      <c r="AR58" s="373"/>
      <c r="AS58" s="374"/>
      <c r="AT58" s="375"/>
      <c r="AU58" s="371">
        <v>0</v>
      </c>
      <c r="AV58" s="372"/>
      <c r="AW58" s="373"/>
      <c r="AX58" s="374"/>
      <c r="AY58" s="375"/>
      <c r="AZ58" s="371">
        <v>0</v>
      </c>
      <c r="BA58" s="372"/>
      <c r="BB58" s="373"/>
      <c r="BC58" s="374"/>
      <c r="BD58" s="375"/>
      <c r="BE58" s="371">
        <v>0</v>
      </c>
      <c r="BF58" s="372"/>
      <c r="BG58" s="373"/>
      <c r="BH58" s="374"/>
      <c r="BI58" s="375"/>
      <c r="BJ58" s="371">
        <v>0</v>
      </c>
      <c r="BK58" s="372"/>
      <c r="BL58" s="373"/>
      <c r="BM58" s="374"/>
      <c r="BN58" s="375"/>
      <c r="BO58" s="371">
        <v>0</v>
      </c>
      <c r="BP58" s="372"/>
      <c r="BQ58" s="373"/>
      <c r="BR58" s="374"/>
      <c r="BS58" s="375"/>
      <c r="BT58" s="371">
        <f>SUM(L58:BO58)</f>
        <v>5008164</v>
      </c>
      <c r="BU58" s="372"/>
      <c r="BV58" s="373"/>
      <c r="BW58" s="9"/>
    </row>
    <row r="59" spans="4:78" ht="12.75" customHeight="1" x14ac:dyDescent="0.2">
      <c r="D59" s="9" t="s">
        <v>345</v>
      </c>
      <c r="E59" s="156"/>
      <c r="F59" s="374"/>
      <c r="G59" s="373">
        <v>0</v>
      </c>
      <c r="H59" s="377"/>
      <c r="I59" s="373"/>
      <c r="J59" s="374"/>
      <c r="K59" s="374"/>
      <c r="L59" s="373">
        <v>0</v>
      </c>
      <c r="M59" s="377"/>
      <c r="N59" s="373"/>
      <c r="O59" s="374"/>
      <c r="P59" s="374"/>
      <c r="Q59" s="373">
        <v>0</v>
      </c>
      <c r="R59" s="377"/>
      <c r="S59" s="373"/>
      <c r="T59" s="374"/>
      <c r="U59" s="374"/>
      <c r="V59" s="373">
        <v>0</v>
      </c>
      <c r="W59" s="377"/>
      <c r="X59" s="373"/>
      <c r="Y59" s="374"/>
      <c r="Z59" s="374"/>
      <c r="AA59" s="373">
        <v>0</v>
      </c>
      <c r="AB59" s="377"/>
      <c r="AC59" s="373"/>
      <c r="AD59" s="374"/>
      <c r="AE59" s="374"/>
      <c r="AF59" s="373">
        <v>0</v>
      </c>
      <c r="AG59" s="377"/>
      <c r="AH59" s="373"/>
      <c r="AI59" s="374"/>
      <c r="AJ59" s="374"/>
      <c r="AK59" s="373">
        <v>0</v>
      </c>
      <c r="AL59" s="377"/>
      <c r="AM59" s="373"/>
      <c r="AN59" s="374"/>
      <c r="AO59" s="374"/>
      <c r="AP59" s="373">
        <v>0</v>
      </c>
      <c r="AQ59" s="377"/>
      <c r="AR59" s="373"/>
      <c r="AS59" s="374"/>
      <c r="AT59" s="374"/>
      <c r="AU59" s="373">
        <v>0</v>
      </c>
      <c r="AV59" s="377"/>
      <c r="AW59" s="373"/>
      <c r="AX59" s="374"/>
      <c r="AY59" s="374"/>
      <c r="AZ59" s="373">
        <v>0</v>
      </c>
      <c r="BA59" s="377"/>
      <c r="BB59" s="373"/>
      <c r="BC59" s="374"/>
      <c r="BD59" s="374"/>
      <c r="BE59" s="373">
        <v>0</v>
      </c>
      <c r="BF59" s="377"/>
      <c r="BG59" s="373"/>
      <c r="BH59" s="374"/>
      <c r="BI59" s="374"/>
      <c r="BJ59" s="373">
        <v>0</v>
      </c>
      <c r="BK59" s="377"/>
      <c r="BL59" s="373"/>
      <c r="BM59" s="374"/>
      <c r="BN59" s="374"/>
      <c r="BO59" s="373">
        <v>0</v>
      </c>
      <c r="BP59" s="377"/>
      <c r="BQ59" s="373"/>
      <c r="BR59" s="374"/>
      <c r="BS59" s="374"/>
      <c r="BT59" s="373">
        <f>SUM(L59:BO59)</f>
        <v>0</v>
      </c>
      <c r="BU59" s="377"/>
      <c r="BV59" s="373"/>
      <c r="BW59" s="9"/>
    </row>
    <row r="60" spans="4:78" ht="12.75" customHeight="1" x14ac:dyDescent="0.2">
      <c r="D60" s="9" t="s">
        <v>353</v>
      </c>
      <c r="E60" s="156"/>
      <c r="F60" s="387"/>
      <c r="G60" s="385">
        <v>0</v>
      </c>
      <c r="H60" s="386"/>
      <c r="I60" s="373"/>
      <c r="J60" s="374"/>
      <c r="K60" s="387"/>
      <c r="L60" s="385">
        <v>0</v>
      </c>
      <c r="M60" s="386"/>
      <c r="N60" s="373"/>
      <c r="O60" s="374"/>
      <c r="P60" s="387"/>
      <c r="Q60" s="385">
        <v>0</v>
      </c>
      <c r="R60" s="386"/>
      <c r="S60" s="373"/>
      <c r="T60" s="374"/>
      <c r="U60" s="387"/>
      <c r="V60" s="385">
        <v>0</v>
      </c>
      <c r="W60" s="386"/>
      <c r="X60" s="373"/>
      <c r="Y60" s="374"/>
      <c r="Z60" s="387"/>
      <c r="AA60" s="385">
        <v>0</v>
      </c>
      <c r="AB60" s="386"/>
      <c r="AC60" s="373"/>
      <c r="AD60" s="374"/>
      <c r="AE60" s="387"/>
      <c r="AF60" s="385">
        <v>0</v>
      </c>
      <c r="AG60" s="386"/>
      <c r="AH60" s="373"/>
      <c r="AI60" s="374"/>
      <c r="AJ60" s="387"/>
      <c r="AK60" s="385">
        <v>0</v>
      </c>
      <c r="AL60" s="386"/>
      <c r="AM60" s="373"/>
      <c r="AN60" s="374"/>
      <c r="AO60" s="387"/>
      <c r="AP60" s="385">
        <v>0</v>
      </c>
      <c r="AQ60" s="386"/>
      <c r="AR60" s="373"/>
      <c r="AS60" s="374"/>
      <c r="AT60" s="387"/>
      <c r="AU60" s="385">
        <v>0</v>
      </c>
      <c r="AV60" s="386"/>
      <c r="AW60" s="373"/>
      <c r="AX60" s="374"/>
      <c r="AY60" s="387"/>
      <c r="AZ60" s="385">
        <v>0</v>
      </c>
      <c r="BA60" s="386"/>
      <c r="BB60" s="373"/>
      <c r="BC60" s="374"/>
      <c r="BD60" s="387"/>
      <c r="BE60" s="385">
        <v>0</v>
      </c>
      <c r="BF60" s="386"/>
      <c r="BG60" s="373"/>
      <c r="BH60" s="374"/>
      <c r="BI60" s="387"/>
      <c r="BJ60" s="385">
        <v>0</v>
      </c>
      <c r="BK60" s="386"/>
      <c r="BL60" s="373"/>
      <c r="BM60" s="374"/>
      <c r="BN60" s="387"/>
      <c r="BO60" s="385">
        <v>0</v>
      </c>
      <c r="BP60" s="386"/>
      <c r="BQ60" s="373"/>
      <c r="BR60" s="374"/>
      <c r="BS60" s="387"/>
      <c r="BT60" s="385">
        <f>SUM(L60:BO60)</f>
        <v>0</v>
      </c>
      <c r="BU60" s="386"/>
      <c r="BV60" s="373"/>
      <c r="BW60" s="9"/>
    </row>
    <row r="61" spans="4:78" ht="12.75" customHeight="1" x14ac:dyDescent="0.2">
      <c r="D61" s="9"/>
      <c r="E61" s="156"/>
      <c r="G61" s="373"/>
      <c r="H61" s="373"/>
      <c r="I61" s="373"/>
      <c r="J61" s="374"/>
      <c r="K61" s="373"/>
      <c r="L61" s="373"/>
      <c r="M61" s="373"/>
      <c r="N61" s="373"/>
      <c r="O61" s="374"/>
      <c r="P61" s="373"/>
      <c r="Q61" s="373"/>
      <c r="R61" s="373"/>
      <c r="S61" s="373"/>
      <c r="T61" s="374"/>
      <c r="U61" s="373"/>
      <c r="V61" s="373"/>
      <c r="W61" s="373"/>
      <c r="X61" s="373"/>
      <c r="Y61" s="374"/>
      <c r="Z61" s="373"/>
      <c r="AA61" s="373"/>
      <c r="AB61" s="373"/>
      <c r="AC61" s="373"/>
      <c r="AD61" s="374"/>
      <c r="AE61" s="373"/>
      <c r="AF61" s="373"/>
      <c r="AG61" s="373"/>
      <c r="AH61" s="373"/>
      <c r="AI61" s="374"/>
      <c r="AJ61" s="373"/>
      <c r="AK61" s="373"/>
      <c r="AL61" s="373"/>
      <c r="AM61" s="373"/>
      <c r="AN61" s="374"/>
      <c r="AO61" s="373"/>
      <c r="AP61" s="373"/>
      <c r="AQ61" s="373"/>
      <c r="AR61" s="373"/>
      <c r="AS61" s="374"/>
      <c r="AT61" s="373"/>
      <c r="AU61" s="373"/>
      <c r="AV61" s="373"/>
      <c r="AW61" s="373"/>
      <c r="AX61" s="374"/>
      <c r="AY61" s="373"/>
      <c r="AZ61" s="373"/>
      <c r="BA61" s="373"/>
      <c r="BB61" s="373"/>
      <c r="BC61" s="374"/>
      <c r="BD61" s="373"/>
      <c r="BE61" s="373"/>
      <c r="BF61" s="373"/>
      <c r="BG61" s="373"/>
      <c r="BH61" s="374"/>
      <c r="BI61" s="373"/>
      <c r="BJ61" s="373"/>
      <c r="BK61" s="373"/>
      <c r="BL61" s="373"/>
      <c r="BM61" s="374"/>
      <c r="BN61" s="373"/>
      <c r="BO61" s="373"/>
      <c r="BP61" s="373"/>
      <c r="BQ61" s="373"/>
      <c r="BR61" s="374"/>
      <c r="BS61" s="373"/>
      <c r="BT61" s="373"/>
      <c r="BU61" s="373"/>
      <c r="BV61" s="373"/>
      <c r="BW61" s="9"/>
    </row>
    <row r="62" spans="4:78" s="10" customFormat="1" ht="12.75" hidden="1" customHeight="1" x14ac:dyDescent="0.2">
      <c r="D62" s="79" t="s">
        <v>454</v>
      </c>
      <c r="E62" s="145"/>
      <c r="G62" s="368">
        <f>SUM(G63:G65)</f>
        <v>0</v>
      </c>
      <c r="H62" s="368"/>
      <c r="I62" s="368"/>
      <c r="J62" s="369"/>
      <c r="K62" s="368"/>
      <c r="L62" s="368">
        <f>SUM(L63:L65)</f>
        <v>0</v>
      </c>
      <c r="M62" s="368"/>
      <c r="N62" s="368"/>
      <c r="O62" s="369"/>
      <c r="P62" s="368"/>
      <c r="Q62" s="368">
        <f>SUM(Q63:Q65)</f>
        <v>0</v>
      </c>
      <c r="R62" s="368"/>
      <c r="S62" s="368"/>
      <c r="T62" s="369"/>
      <c r="U62" s="368"/>
      <c r="V62" s="368">
        <f>SUM(V63:V65)</f>
        <v>0</v>
      </c>
      <c r="W62" s="368"/>
      <c r="X62" s="368"/>
      <c r="Y62" s="369"/>
      <c r="Z62" s="368"/>
      <c r="AA62" s="368">
        <f>SUM(AA63:AA65)</f>
        <v>0</v>
      </c>
      <c r="AB62" s="368"/>
      <c r="AC62" s="368"/>
      <c r="AD62" s="369"/>
      <c r="AE62" s="368"/>
      <c r="AF62" s="368">
        <f>SUM(AF63:AF65)</f>
        <v>0</v>
      </c>
      <c r="AG62" s="368"/>
      <c r="AH62" s="368"/>
      <c r="AI62" s="369"/>
      <c r="AJ62" s="368"/>
      <c r="AK62" s="368">
        <f>SUM(AK63:AK65)</f>
        <v>0</v>
      </c>
      <c r="AL62" s="368"/>
      <c r="AM62" s="368"/>
      <c r="AN62" s="369"/>
      <c r="AO62" s="368"/>
      <c r="AP62" s="368">
        <f>SUM(AP63:AP65)</f>
        <v>0</v>
      </c>
      <c r="AQ62" s="368"/>
      <c r="AR62" s="368"/>
      <c r="AS62" s="369"/>
      <c r="AT62" s="368"/>
      <c r="AU62" s="368">
        <f>SUM(AU63:AU65)</f>
        <v>0</v>
      </c>
      <c r="AV62" s="368"/>
      <c r="AW62" s="368"/>
      <c r="AX62" s="369"/>
      <c r="AY62" s="368"/>
      <c r="AZ62" s="368">
        <f>SUM(AZ63:AZ65)</f>
        <v>0</v>
      </c>
      <c r="BA62" s="368"/>
      <c r="BB62" s="368"/>
      <c r="BC62" s="369"/>
      <c r="BD62" s="368"/>
      <c r="BE62" s="368">
        <f>SUM(BE63:BE65)</f>
        <v>0</v>
      </c>
      <c r="BF62" s="368"/>
      <c r="BG62" s="368"/>
      <c r="BH62" s="369"/>
      <c r="BI62" s="368"/>
      <c r="BJ62" s="368">
        <f>SUM(BJ63:BJ65)</f>
        <v>0</v>
      </c>
      <c r="BK62" s="368"/>
      <c r="BL62" s="368"/>
      <c r="BM62" s="369"/>
      <c r="BN62" s="368"/>
      <c r="BO62" s="368">
        <f>SUM(BO63:BO65)</f>
        <v>0</v>
      </c>
      <c r="BP62" s="368"/>
      <c r="BQ62" s="368"/>
      <c r="BR62" s="369"/>
      <c r="BS62" s="368"/>
      <c r="BT62" s="368">
        <f>SUM(BT63:BT65)</f>
        <v>0</v>
      </c>
      <c r="BU62" s="368"/>
      <c r="BV62" s="368"/>
      <c r="BW62" s="79"/>
      <c r="BY62" s="1"/>
      <c r="BZ62" s="1"/>
    </row>
    <row r="63" spans="4:78" ht="12.75" hidden="1" customHeight="1" x14ac:dyDescent="0.2">
      <c r="D63" s="9" t="s">
        <v>343</v>
      </c>
      <c r="E63" s="156"/>
      <c r="F63" s="309"/>
      <c r="G63" s="371">
        <v>0</v>
      </c>
      <c r="H63" s="372"/>
      <c r="I63" s="373"/>
      <c r="J63" s="374"/>
      <c r="K63" s="375"/>
      <c r="L63" s="371">
        <f>L68</f>
        <v>0</v>
      </c>
      <c r="M63" s="372"/>
      <c r="N63" s="373"/>
      <c r="O63" s="374"/>
      <c r="P63" s="375"/>
      <c r="Q63" s="371">
        <f>Q68</f>
        <v>0</v>
      </c>
      <c r="R63" s="372"/>
      <c r="S63" s="373"/>
      <c r="T63" s="374"/>
      <c r="U63" s="375"/>
      <c r="V63" s="371">
        <f>V68</f>
        <v>0</v>
      </c>
      <c r="W63" s="372"/>
      <c r="X63" s="373"/>
      <c r="Y63" s="374"/>
      <c r="Z63" s="375"/>
      <c r="AA63" s="371">
        <f>AA68</f>
        <v>0</v>
      </c>
      <c r="AB63" s="372"/>
      <c r="AC63" s="373"/>
      <c r="AD63" s="374"/>
      <c r="AE63" s="375"/>
      <c r="AF63" s="371">
        <f>AF68</f>
        <v>0</v>
      </c>
      <c r="AG63" s="372"/>
      <c r="AH63" s="373"/>
      <c r="AI63" s="374"/>
      <c r="AJ63" s="375"/>
      <c r="AK63" s="371">
        <f>AK68</f>
        <v>0</v>
      </c>
      <c r="AL63" s="372"/>
      <c r="AM63" s="373"/>
      <c r="AN63" s="374"/>
      <c r="AO63" s="375"/>
      <c r="AP63" s="371">
        <f>AP68</f>
        <v>0</v>
      </c>
      <c r="AQ63" s="372"/>
      <c r="AR63" s="373"/>
      <c r="AS63" s="374"/>
      <c r="AT63" s="375"/>
      <c r="AU63" s="371">
        <f>AU68</f>
        <v>0</v>
      </c>
      <c r="AV63" s="372"/>
      <c r="AW63" s="373"/>
      <c r="AX63" s="374"/>
      <c r="AY63" s="375"/>
      <c r="AZ63" s="371">
        <f>AZ68</f>
        <v>0</v>
      </c>
      <c r="BA63" s="372"/>
      <c r="BB63" s="373"/>
      <c r="BC63" s="374"/>
      <c r="BD63" s="375"/>
      <c r="BE63" s="371">
        <f>BE68</f>
        <v>0</v>
      </c>
      <c r="BF63" s="372"/>
      <c r="BG63" s="373"/>
      <c r="BH63" s="374"/>
      <c r="BI63" s="375"/>
      <c r="BJ63" s="371">
        <f>BJ68</f>
        <v>0</v>
      </c>
      <c r="BK63" s="372"/>
      <c r="BL63" s="373"/>
      <c r="BM63" s="374"/>
      <c r="BN63" s="375"/>
      <c r="BO63" s="371">
        <f>BO68</f>
        <v>0</v>
      </c>
      <c r="BP63" s="372"/>
      <c r="BQ63" s="373"/>
      <c r="BR63" s="374"/>
      <c r="BS63" s="375"/>
      <c r="BT63" s="371">
        <f>BT68</f>
        <v>0</v>
      </c>
      <c r="BU63" s="372"/>
      <c r="BV63" s="373"/>
      <c r="BW63" s="9"/>
    </row>
    <row r="64" spans="4:78" ht="12.75" hidden="1" customHeight="1" x14ac:dyDescent="0.2">
      <c r="D64" s="9" t="s">
        <v>345</v>
      </c>
      <c r="E64" s="156"/>
      <c r="F64" s="156"/>
      <c r="G64" s="373">
        <v>0</v>
      </c>
      <c r="H64" s="377"/>
      <c r="I64" s="373"/>
      <c r="J64" s="374"/>
      <c r="K64" s="374"/>
      <c r="L64" s="373">
        <f>L69</f>
        <v>0</v>
      </c>
      <c r="M64" s="377"/>
      <c r="N64" s="373"/>
      <c r="O64" s="374"/>
      <c r="P64" s="374"/>
      <c r="Q64" s="373">
        <f>Q69</f>
        <v>0</v>
      </c>
      <c r="R64" s="377"/>
      <c r="S64" s="373"/>
      <c r="T64" s="374"/>
      <c r="U64" s="374"/>
      <c r="V64" s="373">
        <f>V69</f>
        <v>0</v>
      </c>
      <c r="W64" s="377"/>
      <c r="X64" s="373"/>
      <c r="Y64" s="374"/>
      <c r="Z64" s="374"/>
      <c r="AA64" s="373">
        <f>AA69</f>
        <v>0</v>
      </c>
      <c r="AB64" s="377"/>
      <c r="AC64" s="373"/>
      <c r="AD64" s="374"/>
      <c r="AE64" s="374"/>
      <c r="AF64" s="373">
        <f>AF69</f>
        <v>0</v>
      </c>
      <c r="AG64" s="377"/>
      <c r="AH64" s="373"/>
      <c r="AI64" s="374"/>
      <c r="AJ64" s="374"/>
      <c r="AK64" s="373">
        <f>AK69</f>
        <v>0</v>
      </c>
      <c r="AL64" s="377"/>
      <c r="AM64" s="373"/>
      <c r="AN64" s="374"/>
      <c r="AO64" s="374"/>
      <c r="AP64" s="373">
        <f>AP69</f>
        <v>0</v>
      </c>
      <c r="AQ64" s="377"/>
      <c r="AR64" s="373"/>
      <c r="AS64" s="374"/>
      <c r="AT64" s="374"/>
      <c r="AU64" s="373">
        <f>AU69</f>
        <v>0</v>
      </c>
      <c r="AV64" s="377"/>
      <c r="AW64" s="373"/>
      <c r="AX64" s="374"/>
      <c r="AY64" s="374"/>
      <c r="AZ64" s="373">
        <f>AZ69</f>
        <v>0</v>
      </c>
      <c r="BA64" s="377"/>
      <c r="BB64" s="373"/>
      <c r="BC64" s="374"/>
      <c r="BD64" s="374"/>
      <c r="BE64" s="373">
        <f>BE69</f>
        <v>0</v>
      </c>
      <c r="BF64" s="377"/>
      <c r="BG64" s="373"/>
      <c r="BH64" s="374"/>
      <c r="BI64" s="374"/>
      <c r="BJ64" s="373">
        <f>BJ69</f>
        <v>0</v>
      </c>
      <c r="BK64" s="377"/>
      <c r="BL64" s="373"/>
      <c r="BM64" s="374"/>
      <c r="BN64" s="374"/>
      <c r="BO64" s="373">
        <f>BO69</f>
        <v>0</v>
      </c>
      <c r="BP64" s="377"/>
      <c r="BQ64" s="373"/>
      <c r="BR64" s="374"/>
      <c r="BS64" s="374"/>
      <c r="BT64" s="373">
        <f>BT69</f>
        <v>0</v>
      </c>
      <c r="BU64" s="377"/>
      <c r="BV64" s="373"/>
      <c r="BW64" s="9"/>
    </row>
    <row r="65" spans="4:78" ht="12.75" hidden="1" customHeight="1" x14ac:dyDescent="0.2">
      <c r="D65" s="9" t="s">
        <v>353</v>
      </c>
      <c r="E65" s="156"/>
      <c r="F65" s="320"/>
      <c r="G65" s="385">
        <v>0</v>
      </c>
      <c r="H65" s="386"/>
      <c r="I65" s="373"/>
      <c r="J65" s="374"/>
      <c r="K65" s="387"/>
      <c r="L65" s="385">
        <f>L70</f>
        <v>0</v>
      </c>
      <c r="M65" s="386"/>
      <c r="N65" s="373"/>
      <c r="O65" s="374"/>
      <c r="P65" s="387"/>
      <c r="Q65" s="385">
        <f>Q70</f>
        <v>0</v>
      </c>
      <c r="R65" s="386"/>
      <c r="S65" s="373"/>
      <c r="T65" s="374"/>
      <c r="U65" s="387"/>
      <c r="V65" s="385">
        <f>V70</f>
        <v>0</v>
      </c>
      <c r="W65" s="386"/>
      <c r="X65" s="373"/>
      <c r="Y65" s="374"/>
      <c r="Z65" s="387"/>
      <c r="AA65" s="385">
        <f>AA70</f>
        <v>0</v>
      </c>
      <c r="AB65" s="386"/>
      <c r="AC65" s="373"/>
      <c r="AD65" s="374"/>
      <c r="AE65" s="387"/>
      <c r="AF65" s="385">
        <f>AF70</f>
        <v>0</v>
      </c>
      <c r="AG65" s="386"/>
      <c r="AH65" s="373"/>
      <c r="AI65" s="374"/>
      <c r="AJ65" s="387"/>
      <c r="AK65" s="385">
        <f>AK70</f>
        <v>0</v>
      </c>
      <c r="AL65" s="386"/>
      <c r="AM65" s="373"/>
      <c r="AN65" s="374"/>
      <c r="AO65" s="387"/>
      <c r="AP65" s="385">
        <f>AP70</f>
        <v>0</v>
      </c>
      <c r="AQ65" s="386"/>
      <c r="AR65" s="373"/>
      <c r="AS65" s="374"/>
      <c r="AT65" s="387"/>
      <c r="AU65" s="385">
        <f>AU70</f>
        <v>0</v>
      </c>
      <c r="AV65" s="386"/>
      <c r="AW65" s="373"/>
      <c r="AX65" s="374"/>
      <c r="AY65" s="387"/>
      <c r="AZ65" s="385">
        <f>AZ70</f>
        <v>0</v>
      </c>
      <c r="BA65" s="386"/>
      <c r="BB65" s="373"/>
      <c r="BC65" s="374"/>
      <c r="BD65" s="387"/>
      <c r="BE65" s="385">
        <f>BE70</f>
        <v>0</v>
      </c>
      <c r="BF65" s="386"/>
      <c r="BG65" s="373"/>
      <c r="BH65" s="374"/>
      <c r="BI65" s="387"/>
      <c r="BJ65" s="385">
        <f>BJ70</f>
        <v>0</v>
      </c>
      <c r="BK65" s="386"/>
      <c r="BL65" s="373"/>
      <c r="BM65" s="374"/>
      <c r="BN65" s="387"/>
      <c r="BO65" s="385">
        <f>BO70</f>
        <v>0</v>
      </c>
      <c r="BP65" s="386"/>
      <c r="BQ65" s="373"/>
      <c r="BR65" s="374"/>
      <c r="BS65" s="387"/>
      <c r="BT65" s="385">
        <f>BT70</f>
        <v>0</v>
      </c>
      <c r="BU65" s="386"/>
      <c r="BV65" s="373"/>
      <c r="BW65" s="9"/>
    </row>
    <row r="66" spans="4:78" ht="12.75" hidden="1" customHeight="1" x14ac:dyDescent="0.2">
      <c r="D66" s="9"/>
      <c r="E66" s="156"/>
      <c r="G66" s="373"/>
      <c r="H66" s="373"/>
      <c r="I66" s="373"/>
      <c r="J66" s="374"/>
      <c r="K66" s="373"/>
      <c r="L66" s="373"/>
      <c r="M66" s="373"/>
      <c r="N66" s="373"/>
      <c r="O66" s="374"/>
      <c r="P66" s="373"/>
      <c r="Q66" s="373"/>
      <c r="R66" s="373"/>
      <c r="S66" s="373"/>
      <c r="T66" s="374"/>
      <c r="U66" s="373"/>
      <c r="V66" s="373"/>
      <c r="W66" s="373"/>
      <c r="X66" s="373"/>
      <c r="Y66" s="374"/>
      <c r="Z66" s="373"/>
      <c r="AA66" s="373"/>
      <c r="AB66" s="373"/>
      <c r="AC66" s="373"/>
      <c r="AD66" s="374"/>
      <c r="AE66" s="373"/>
      <c r="AF66" s="373"/>
      <c r="AG66" s="373"/>
      <c r="AH66" s="373"/>
      <c r="AI66" s="374"/>
      <c r="AJ66" s="373"/>
      <c r="AK66" s="373"/>
      <c r="AL66" s="373"/>
      <c r="AM66" s="373"/>
      <c r="AN66" s="374"/>
      <c r="AO66" s="373"/>
      <c r="AP66" s="373"/>
      <c r="AQ66" s="373"/>
      <c r="AR66" s="373"/>
      <c r="AS66" s="374"/>
      <c r="AT66" s="373"/>
      <c r="AU66" s="373"/>
      <c r="AV66" s="373"/>
      <c r="AW66" s="373"/>
      <c r="AX66" s="374"/>
      <c r="AY66" s="373"/>
      <c r="AZ66" s="373"/>
      <c r="BA66" s="373"/>
      <c r="BB66" s="373"/>
      <c r="BC66" s="374"/>
      <c r="BD66" s="373"/>
      <c r="BE66" s="373"/>
      <c r="BF66" s="373"/>
      <c r="BG66" s="373"/>
      <c r="BH66" s="374"/>
      <c r="BI66" s="373"/>
      <c r="BJ66" s="373"/>
      <c r="BK66" s="373"/>
      <c r="BL66" s="373"/>
      <c r="BM66" s="374"/>
      <c r="BN66" s="373"/>
      <c r="BO66" s="373"/>
      <c r="BP66" s="373"/>
      <c r="BQ66" s="373"/>
      <c r="BR66" s="374"/>
      <c r="BS66" s="373"/>
      <c r="BT66" s="373"/>
      <c r="BU66" s="373"/>
      <c r="BV66" s="373"/>
      <c r="BW66" s="9"/>
    </row>
    <row r="67" spans="4:78" ht="12.75" hidden="1" customHeight="1" x14ac:dyDescent="0.2">
      <c r="D67" s="9" t="s">
        <v>455</v>
      </c>
      <c r="E67" s="156"/>
      <c r="G67" s="373">
        <v>0</v>
      </c>
      <c r="H67" s="373"/>
      <c r="I67" s="373"/>
      <c r="J67" s="374"/>
      <c r="K67" s="373"/>
      <c r="L67" s="373">
        <f>SUM(L68:L70)</f>
        <v>0</v>
      </c>
      <c r="M67" s="373"/>
      <c r="N67" s="373"/>
      <c r="O67" s="374"/>
      <c r="P67" s="373"/>
      <c r="Q67" s="373">
        <f>SUM(Q68:Q70)</f>
        <v>0</v>
      </c>
      <c r="R67" s="373"/>
      <c r="S67" s="373"/>
      <c r="T67" s="374"/>
      <c r="U67" s="373"/>
      <c r="V67" s="373">
        <f>SUM(V68:V70)</f>
        <v>0</v>
      </c>
      <c r="W67" s="373"/>
      <c r="X67" s="373"/>
      <c r="Y67" s="374"/>
      <c r="Z67" s="373"/>
      <c r="AA67" s="373">
        <f>SUM(AA68:AA70)</f>
        <v>0</v>
      </c>
      <c r="AB67" s="373"/>
      <c r="AC67" s="373"/>
      <c r="AD67" s="374"/>
      <c r="AE67" s="373"/>
      <c r="AF67" s="373">
        <f>SUM(AF68:AF70)</f>
        <v>0</v>
      </c>
      <c r="AG67" s="373"/>
      <c r="AH67" s="373"/>
      <c r="AI67" s="374"/>
      <c r="AJ67" s="373"/>
      <c r="AK67" s="373">
        <f>SUM(AK68:AK70)</f>
        <v>0</v>
      </c>
      <c r="AL67" s="373"/>
      <c r="AM67" s="373"/>
      <c r="AN67" s="374"/>
      <c r="AO67" s="373"/>
      <c r="AP67" s="373">
        <f>SUM(AP68:AP70)</f>
        <v>0</v>
      </c>
      <c r="AQ67" s="373"/>
      <c r="AR67" s="373"/>
      <c r="AS67" s="374"/>
      <c r="AT67" s="373"/>
      <c r="AU67" s="373">
        <f>SUM(AU68:AU70)</f>
        <v>0</v>
      </c>
      <c r="AV67" s="373"/>
      <c r="AW67" s="373"/>
      <c r="AX67" s="374"/>
      <c r="AY67" s="373"/>
      <c r="AZ67" s="373">
        <f>SUM(AZ68:AZ70)</f>
        <v>0</v>
      </c>
      <c r="BA67" s="373"/>
      <c r="BB67" s="373"/>
      <c r="BC67" s="374"/>
      <c r="BD67" s="373"/>
      <c r="BE67" s="373">
        <f>SUM(BE68:BE70)</f>
        <v>0</v>
      </c>
      <c r="BF67" s="373"/>
      <c r="BG67" s="373"/>
      <c r="BH67" s="374"/>
      <c r="BI67" s="373"/>
      <c r="BJ67" s="373">
        <f>SUM(BJ68:BJ70)</f>
        <v>0</v>
      </c>
      <c r="BK67" s="373"/>
      <c r="BL67" s="373"/>
      <c r="BM67" s="374"/>
      <c r="BN67" s="373"/>
      <c r="BO67" s="373">
        <f>SUM(BO68:BO70)</f>
        <v>0</v>
      </c>
      <c r="BP67" s="373"/>
      <c r="BQ67" s="373"/>
      <c r="BR67" s="374"/>
      <c r="BS67" s="373"/>
      <c r="BT67" s="373">
        <f>SUM(BT68:BT70)</f>
        <v>0</v>
      </c>
      <c r="BU67" s="373"/>
      <c r="BV67" s="373"/>
      <c r="BW67" s="9"/>
    </row>
    <row r="68" spans="4:78" ht="12.75" hidden="1" customHeight="1" x14ac:dyDescent="0.2">
      <c r="D68" s="9" t="s">
        <v>343</v>
      </c>
      <c r="E68" s="156"/>
      <c r="F68" s="309"/>
      <c r="G68" s="371">
        <v>0</v>
      </c>
      <c r="H68" s="372"/>
      <c r="I68" s="373"/>
      <c r="J68" s="374"/>
      <c r="K68" s="375"/>
      <c r="L68" s="371">
        <v>0</v>
      </c>
      <c r="M68" s="372"/>
      <c r="N68" s="373"/>
      <c r="O68" s="374"/>
      <c r="P68" s="375"/>
      <c r="Q68" s="371">
        <v>0</v>
      </c>
      <c r="R68" s="372"/>
      <c r="S68" s="373"/>
      <c r="T68" s="374"/>
      <c r="U68" s="375"/>
      <c r="V68" s="371">
        <v>0</v>
      </c>
      <c r="W68" s="372"/>
      <c r="X68" s="373"/>
      <c r="Y68" s="374"/>
      <c r="Z68" s="375"/>
      <c r="AA68" s="371">
        <v>0</v>
      </c>
      <c r="AB68" s="372"/>
      <c r="AC68" s="373"/>
      <c r="AD68" s="374"/>
      <c r="AE68" s="375"/>
      <c r="AF68" s="371">
        <v>0</v>
      </c>
      <c r="AG68" s="372"/>
      <c r="AH68" s="373"/>
      <c r="AI68" s="374"/>
      <c r="AJ68" s="375"/>
      <c r="AK68" s="371">
        <v>0</v>
      </c>
      <c r="AL68" s="372"/>
      <c r="AM68" s="373"/>
      <c r="AN68" s="374"/>
      <c r="AO68" s="375"/>
      <c r="AP68" s="371">
        <v>0</v>
      </c>
      <c r="AQ68" s="372"/>
      <c r="AR68" s="373"/>
      <c r="AS68" s="374"/>
      <c r="AT68" s="375"/>
      <c r="AU68" s="371">
        <v>0</v>
      </c>
      <c r="AV68" s="372"/>
      <c r="AW68" s="373"/>
      <c r="AX68" s="374"/>
      <c r="AY68" s="375"/>
      <c r="AZ68" s="371">
        <v>0</v>
      </c>
      <c r="BA68" s="372"/>
      <c r="BB68" s="373"/>
      <c r="BC68" s="374"/>
      <c r="BD68" s="375"/>
      <c r="BE68" s="371">
        <v>0</v>
      </c>
      <c r="BF68" s="372"/>
      <c r="BG68" s="373"/>
      <c r="BH68" s="374"/>
      <c r="BI68" s="375"/>
      <c r="BJ68" s="371">
        <v>0</v>
      </c>
      <c r="BK68" s="372"/>
      <c r="BL68" s="373"/>
      <c r="BM68" s="374"/>
      <c r="BN68" s="375"/>
      <c r="BO68" s="371">
        <v>0</v>
      </c>
      <c r="BP68" s="372"/>
      <c r="BQ68" s="373"/>
      <c r="BR68" s="374"/>
      <c r="BS68" s="375"/>
      <c r="BT68" s="371">
        <f>SUM(L68:BO68)</f>
        <v>0</v>
      </c>
      <c r="BU68" s="372"/>
      <c r="BV68" s="373"/>
      <c r="BW68" s="9"/>
    </row>
    <row r="69" spans="4:78" ht="12.75" hidden="1" customHeight="1" x14ac:dyDescent="0.2">
      <c r="D69" s="9" t="s">
        <v>345</v>
      </c>
      <c r="E69" s="156"/>
      <c r="F69" s="156"/>
      <c r="G69" s="373">
        <v>0</v>
      </c>
      <c r="H69" s="377"/>
      <c r="I69" s="373"/>
      <c r="J69" s="374"/>
      <c r="K69" s="374"/>
      <c r="L69" s="373">
        <v>0</v>
      </c>
      <c r="M69" s="377"/>
      <c r="N69" s="373"/>
      <c r="O69" s="374"/>
      <c r="P69" s="374"/>
      <c r="Q69" s="373">
        <v>0</v>
      </c>
      <c r="R69" s="377"/>
      <c r="S69" s="373"/>
      <c r="T69" s="374"/>
      <c r="U69" s="374"/>
      <c r="V69" s="373">
        <v>0</v>
      </c>
      <c r="W69" s="377"/>
      <c r="X69" s="373"/>
      <c r="Y69" s="374"/>
      <c r="Z69" s="374"/>
      <c r="AA69" s="373">
        <v>0</v>
      </c>
      <c r="AB69" s="377"/>
      <c r="AC69" s="373"/>
      <c r="AD69" s="374"/>
      <c r="AE69" s="374"/>
      <c r="AF69" s="373">
        <v>0</v>
      </c>
      <c r="AG69" s="377"/>
      <c r="AH69" s="373"/>
      <c r="AI69" s="374"/>
      <c r="AJ69" s="374"/>
      <c r="AK69" s="373">
        <v>0</v>
      </c>
      <c r="AL69" s="377"/>
      <c r="AM69" s="373"/>
      <c r="AN69" s="374"/>
      <c r="AO69" s="374"/>
      <c r="AP69" s="373">
        <v>0</v>
      </c>
      <c r="AQ69" s="377"/>
      <c r="AR69" s="373"/>
      <c r="AS69" s="374"/>
      <c r="AT69" s="374"/>
      <c r="AU69" s="373">
        <v>0</v>
      </c>
      <c r="AV69" s="377"/>
      <c r="AW69" s="373"/>
      <c r="AX69" s="374"/>
      <c r="AY69" s="374"/>
      <c r="AZ69" s="373">
        <v>0</v>
      </c>
      <c r="BA69" s="377"/>
      <c r="BB69" s="373"/>
      <c r="BC69" s="374"/>
      <c r="BD69" s="374"/>
      <c r="BE69" s="373">
        <v>0</v>
      </c>
      <c r="BF69" s="377"/>
      <c r="BG69" s="373"/>
      <c r="BH69" s="374"/>
      <c r="BI69" s="374"/>
      <c r="BJ69" s="373">
        <v>0</v>
      </c>
      <c r="BK69" s="377"/>
      <c r="BL69" s="373"/>
      <c r="BM69" s="374"/>
      <c r="BN69" s="374"/>
      <c r="BO69" s="373">
        <v>0</v>
      </c>
      <c r="BP69" s="377"/>
      <c r="BQ69" s="373"/>
      <c r="BR69" s="374"/>
      <c r="BS69" s="374"/>
      <c r="BT69" s="373">
        <f>SUM(L69:BO69)</f>
        <v>0</v>
      </c>
      <c r="BU69" s="377"/>
      <c r="BV69" s="373"/>
      <c r="BW69" s="9"/>
    </row>
    <row r="70" spans="4:78" ht="12.75" hidden="1" customHeight="1" x14ac:dyDescent="0.2">
      <c r="D70" s="9" t="s">
        <v>353</v>
      </c>
      <c r="E70" s="156"/>
      <c r="F70" s="320"/>
      <c r="G70" s="385">
        <v>0</v>
      </c>
      <c r="H70" s="386"/>
      <c r="I70" s="373"/>
      <c r="J70" s="374"/>
      <c r="K70" s="387"/>
      <c r="L70" s="385">
        <v>0</v>
      </c>
      <c r="M70" s="386"/>
      <c r="N70" s="373"/>
      <c r="O70" s="374"/>
      <c r="P70" s="387"/>
      <c r="Q70" s="385">
        <v>0</v>
      </c>
      <c r="R70" s="386"/>
      <c r="S70" s="373"/>
      <c r="T70" s="374"/>
      <c r="U70" s="387"/>
      <c r="V70" s="385">
        <v>0</v>
      </c>
      <c r="W70" s="386"/>
      <c r="X70" s="373"/>
      <c r="Y70" s="374"/>
      <c r="Z70" s="387"/>
      <c r="AA70" s="385">
        <v>0</v>
      </c>
      <c r="AB70" s="386"/>
      <c r="AC70" s="373"/>
      <c r="AD70" s="374"/>
      <c r="AE70" s="387"/>
      <c r="AF70" s="385">
        <v>0</v>
      </c>
      <c r="AG70" s="386"/>
      <c r="AH70" s="373"/>
      <c r="AI70" s="374"/>
      <c r="AJ70" s="387"/>
      <c r="AK70" s="385">
        <v>0</v>
      </c>
      <c r="AL70" s="386"/>
      <c r="AM70" s="373"/>
      <c r="AN70" s="374"/>
      <c r="AO70" s="387"/>
      <c r="AP70" s="385">
        <v>0</v>
      </c>
      <c r="AQ70" s="386"/>
      <c r="AR70" s="373"/>
      <c r="AS70" s="374"/>
      <c r="AT70" s="387"/>
      <c r="AU70" s="385">
        <v>0</v>
      </c>
      <c r="AV70" s="386"/>
      <c r="AW70" s="373"/>
      <c r="AX70" s="374"/>
      <c r="AY70" s="387"/>
      <c r="AZ70" s="385">
        <v>0</v>
      </c>
      <c r="BA70" s="386"/>
      <c r="BB70" s="373"/>
      <c r="BC70" s="374"/>
      <c r="BD70" s="387"/>
      <c r="BE70" s="385">
        <v>0</v>
      </c>
      <c r="BF70" s="386"/>
      <c r="BG70" s="373"/>
      <c r="BH70" s="374"/>
      <c r="BI70" s="387"/>
      <c r="BJ70" s="385">
        <v>0</v>
      </c>
      <c r="BK70" s="386"/>
      <c r="BL70" s="373"/>
      <c r="BM70" s="374"/>
      <c r="BN70" s="387"/>
      <c r="BO70" s="385">
        <v>0</v>
      </c>
      <c r="BP70" s="386"/>
      <c r="BQ70" s="373"/>
      <c r="BR70" s="374"/>
      <c r="BS70" s="387"/>
      <c r="BT70" s="385">
        <f>SUM(L70:BO70)</f>
        <v>0</v>
      </c>
      <c r="BU70" s="386"/>
      <c r="BV70" s="373"/>
      <c r="BW70" s="9"/>
    </row>
    <row r="71" spans="4:78" ht="12.75" hidden="1" customHeight="1" x14ac:dyDescent="0.2">
      <c r="D71" s="9"/>
      <c r="E71" s="156"/>
      <c r="G71" s="373"/>
      <c r="H71" s="373"/>
      <c r="I71" s="373"/>
      <c r="J71" s="374"/>
      <c r="K71" s="373"/>
      <c r="L71" s="373"/>
      <c r="M71" s="373"/>
      <c r="N71" s="373"/>
      <c r="O71" s="374"/>
      <c r="P71" s="373"/>
      <c r="Q71" s="373"/>
      <c r="R71" s="373"/>
      <c r="S71" s="373"/>
      <c r="T71" s="374"/>
      <c r="U71" s="373"/>
      <c r="V71" s="373"/>
      <c r="W71" s="373"/>
      <c r="X71" s="373"/>
      <c r="Y71" s="374"/>
      <c r="Z71" s="373"/>
      <c r="AA71" s="373"/>
      <c r="AB71" s="373"/>
      <c r="AC71" s="373"/>
      <c r="AD71" s="374"/>
      <c r="AE71" s="373"/>
      <c r="AF71" s="373"/>
      <c r="AG71" s="373"/>
      <c r="AH71" s="373"/>
      <c r="AI71" s="374"/>
      <c r="AJ71" s="373"/>
      <c r="AK71" s="373"/>
      <c r="AL71" s="373"/>
      <c r="AM71" s="373"/>
      <c r="AN71" s="374"/>
      <c r="AO71" s="373"/>
      <c r="AP71" s="373"/>
      <c r="AQ71" s="373"/>
      <c r="AR71" s="373"/>
      <c r="AS71" s="374"/>
      <c r="AT71" s="373"/>
      <c r="AU71" s="373"/>
      <c r="AV71" s="373"/>
      <c r="AW71" s="373"/>
      <c r="AX71" s="374"/>
      <c r="AY71" s="373"/>
      <c r="AZ71" s="373"/>
      <c r="BA71" s="373"/>
      <c r="BB71" s="373"/>
      <c r="BC71" s="374"/>
      <c r="BD71" s="373"/>
      <c r="BE71" s="373"/>
      <c r="BF71" s="373"/>
      <c r="BG71" s="373"/>
      <c r="BH71" s="374"/>
      <c r="BI71" s="373"/>
      <c r="BJ71" s="373"/>
      <c r="BK71" s="373"/>
      <c r="BL71" s="373"/>
      <c r="BM71" s="374"/>
      <c r="BN71" s="373"/>
      <c r="BO71" s="373"/>
      <c r="BP71" s="373"/>
      <c r="BQ71" s="373"/>
      <c r="BR71" s="374"/>
      <c r="BS71" s="373"/>
      <c r="BT71" s="373"/>
      <c r="BU71" s="373"/>
      <c r="BV71" s="373"/>
      <c r="BW71" s="9"/>
    </row>
    <row r="72" spans="4:78" s="10" customFormat="1" ht="12.75" hidden="1" customHeight="1" x14ac:dyDescent="0.2">
      <c r="D72" s="79" t="s">
        <v>456</v>
      </c>
      <c r="E72" s="145"/>
      <c r="G72" s="368">
        <v>0</v>
      </c>
      <c r="H72" s="368"/>
      <c r="I72" s="368"/>
      <c r="J72" s="369"/>
      <c r="K72" s="368"/>
      <c r="L72" s="368">
        <f>SUM(L73:L75)</f>
        <v>0</v>
      </c>
      <c r="M72" s="368"/>
      <c r="N72" s="368"/>
      <c r="O72" s="369"/>
      <c r="P72" s="368"/>
      <c r="Q72" s="368">
        <f>SUM(Q73:Q75)</f>
        <v>0</v>
      </c>
      <c r="R72" s="368"/>
      <c r="S72" s="368"/>
      <c r="T72" s="369"/>
      <c r="U72" s="368"/>
      <c r="V72" s="368">
        <f>SUM(V73:V75)</f>
        <v>0</v>
      </c>
      <c r="W72" s="368"/>
      <c r="X72" s="368"/>
      <c r="Y72" s="369"/>
      <c r="Z72" s="368"/>
      <c r="AA72" s="368">
        <f>SUM(AA73:AA75)</f>
        <v>0</v>
      </c>
      <c r="AB72" s="368"/>
      <c r="AC72" s="368"/>
      <c r="AD72" s="369"/>
      <c r="AE72" s="368"/>
      <c r="AF72" s="368">
        <f>SUM(AF73:AF75)</f>
        <v>0</v>
      </c>
      <c r="AG72" s="368"/>
      <c r="AH72" s="368"/>
      <c r="AI72" s="369"/>
      <c r="AJ72" s="368"/>
      <c r="AK72" s="368">
        <f>SUM(AK73:AK75)</f>
        <v>0</v>
      </c>
      <c r="AL72" s="368"/>
      <c r="AM72" s="368"/>
      <c r="AN72" s="369"/>
      <c r="AO72" s="368"/>
      <c r="AP72" s="368">
        <f>SUM(AP73:AP75)</f>
        <v>0</v>
      </c>
      <c r="AQ72" s="368"/>
      <c r="AR72" s="368"/>
      <c r="AS72" s="369"/>
      <c r="AT72" s="368"/>
      <c r="AU72" s="368">
        <f>SUM(AU73:AU75)</f>
        <v>0</v>
      </c>
      <c r="AV72" s="368"/>
      <c r="AW72" s="368"/>
      <c r="AX72" s="369"/>
      <c r="AY72" s="368"/>
      <c r="AZ72" s="368">
        <f>SUM(AZ73:AZ75)</f>
        <v>0</v>
      </c>
      <c r="BA72" s="368"/>
      <c r="BB72" s="368"/>
      <c r="BC72" s="369"/>
      <c r="BD72" s="368"/>
      <c r="BE72" s="368">
        <f>SUM(BE73:BE75)</f>
        <v>0</v>
      </c>
      <c r="BF72" s="368"/>
      <c r="BG72" s="368"/>
      <c r="BH72" s="369"/>
      <c r="BI72" s="368"/>
      <c r="BJ72" s="368">
        <f>SUM(BJ73:BJ75)</f>
        <v>0</v>
      </c>
      <c r="BK72" s="368"/>
      <c r="BL72" s="368"/>
      <c r="BM72" s="369"/>
      <c r="BN72" s="368"/>
      <c r="BO72" s="368">
        <f>SUM(BO73:BO75)</f>
        <v>0</v>
      </c>
      <c r="BP72" s="368"/>
      <c r="BQ72" s="368"/>
      <c r="BR72" s="369"/>
      <c r="BS72" s="368"/>
      <c r="BT72" s="368">
        <f>SUM(BT73:BT75)</f>
        <v>0</v>
      </c>
      <c r="BU72" s="368"/>
      <c r="BV72" s="368"/>
      <c r="BW72" s="79"/>
      <c r="BY72" s="1"/>
      <c r="BZ72" s="1"/>
    </row>
    <row r="73" spans="4:78" ht="12.75" hidden="1" customHeight="1" x14ac:dyDescent="0.2">
      <c r="D73" s="9" t="s">
        <v>343</v>
      </c>
      <c r="E73" s="156"/>
      <c r="F73" s="309"/>
      <c r="G73" s="371">
        <v>0</v>
      </c>
      <c r="H73" s="372"/>
      <c r="I73" s="373"/>
      <c r="J73" s="374"/>
      <c r="K73" s="375"/>
      <c r="L73" s="371">
        <f>L78</f>
        <v>0</v>
      </c>
      <c r="M73" s="372"/>
      <c r="N73" s="373"/>
      <c r="O73" s="374"/>
      <c r="P73" s="375"/>
      <c r="Q73" s="371">
        <f>Q78</f>
        <v>0</v>
      </c>
      <c r="R73" s="372"/>
      <c r="S73" s="373"/>
      <c r="T73" s="374"/>
      <c r="U73" s="375"/>
      <c r="V73" s="371">
        <f>V78</f>
        <v>0</v>
      </c>
      <c r="W73" s="372"/>
      <c r="X73" s="373"/>
      <c r="Y73" s="374"/>
      <c r="Z73" s="375"/>
      <c r="AA73" s="371">
        <f>AA78</f>
        <v>0</v>
      </c>
      <c r="AB73" s="372"/>
      <c r="AC73" s="373"/>
      <c r="AD73" s="374"/>
      <c r="AE73" s="375"/>
      <c r="AF73" s="371">
        <f>AF78</f>
        <v>0</v>
      </c>
      <c r="AG73" s="372"/>
      <c r="AH73" s="373"/>
      <c r="AI73" s="374"/>
      <c r="AJ73" s="375"/>
      <c r="AK73" s="371">
        <f>AK78</f>
        <v>0</v>
      </c>
      <c r="AL73" s="372"/>
      <c r="AM73" s="373"/>
      <c r="AN73" s="374"/>
      <c r="AO73" s="375"/>
      <c r="AP73" s="371">
        <f>AP78</f>
        <v>0</v>
      </c>
      <c r="AQ73" s="372"/>
      <c r="AR73" s="373"/>
      <c r="AS73" s="374"/>
      <c r="AT73" s="375"/>
      <c r="AU73" s="371">
        <f>AU78</f>
        <v>0</v>
      </c>
      <c r="AV73" s="372"/>
      <c r="AW73" s="373"/>
      <c r="AX73" s="374"/>
      <c r="AY73" s="375"/>
      <c r="AZ73" s="371">
        <f>AZ78</f>
        <v>0</v>
      </c>
      <c r="BA73" s="372"/>
      <c r="BB73" s="373"/>
      <c r="BC73" s="374"/>
      <c r="BD73" s="375"/>
      <c r="BE73" s="371">
        <f>BE78</f>
        <v>0</v>
      </c>
      <c r="BF73" s="372"/>
      <c r="BG73" s="373"/>
      <c r="BH73" s="374"/>
      <c r="BI73" s="375"/>
      <c r="BJ73" s="371">
        <f>BJ78</f>
        <v>0</v>
      </c>
      <c r="BK73" s="372"/>
      <c r="BL73" s="373"/>
      <c r="BM73" s="374"/>
      <c r="BN73" s="375"/>
      <c r="BO73" s="371">
        <f>BO78</f>
        <v>0</v>
      </c>
      <c r="BP73" s="372"/>
      <c r="BQ73" s="373"/>
      <c r="BR73" s="374"/>
      <c r="BS73" s="375"/>
      <c r="BT73" s="371">
        <f>BT78</f>
        <v>0</v>
      </c>
      <c r="BU73" s="372"/>
      <c r="BV73" s="373"/>
      <c r="BW73" s="9"/>
    </row>
    <row r="74" spans="4:78" ht="12.75" hidden="1" customHeight="1" x14ac:dyDescent="0.2">
      <c r="D74" s="9" t="s">
        <v>345</v>
      </c>
      <c r="E74" s="156"/>
      <c r="F74" s="156"/>
      <c r="G74" s="373">
        <v>0</v>
      </c>
      <c r="H74" s="377"/>
      <c r="I74" s="373"/>
      <c r="J74" s="374"/>
      <c r="K74" s="374"/>
      <c r="L74" s="373">
        <f>L79</f>
        <v>0</v>
      </c>
      <c r="M74" s="377"/>
      <c r="N74" s="373"/>
      <c r="O74" s="374"/>
      <c r="P74" s="374"/>
      <c r="Q74" s="373">
        <f>Q79</f>
        <v>0</v>
      </c>
      <c r="R74" s="377"/>
      <c r="S74" s="373"/>
      <c r="T74" s="374"/>
      <c r="U74" s="374"/>
      <c r="V74" s="373">
        <f>V79</f>
        <v>0</v>
      </c>
      <c r="W74" s="377"/>
      <c r="X74" s="373"/>
      <c r="Y74" s="374"/>
      <c r="Z74" s="374"/>
      <c r="AA74" s="373">
        <f>AA79</f>
        <v>0</v>
      </c>
      <c r="AB74" s="377"/>
      <c r="AC74" s="373"/>
      <c r="AD74" s="374"/>
      <c r="AE74" s="374"/>
      <c r="AF74" s="373">
        <f>AF79</f>
        <v>0</v>
      </c>
      <c r="AG74" s="377"/>
      <c r="AH74" s="373"/>
      <c r="AI74" s="374"/>
      <c r="AJ74" s="374"/>
      <c r="AK74" s="373">
        <f>AK79</f>
        <v>0</v>
      </c>
      <c r="AL74" s="377"/>
      <c r="AM74" s="373"/>
      <c r="AN74" s="374"/>
      <c r="AO74" s="374"/>
      <c r="AP74" s="373">
        <f>AP79</f>
        <v>0</v>
      </c>
      <c r="AQ74" s="377"/>
      <c r="AR74" s="373"/>
      <c r="AS74" s="374"/>
      <c r="AT74" s="374"/>
      <c r="AU74" s="373">
        <f>AU79</f>
        <v>0</v>
      </c>
      <c r="AV74" s="377"/>
      <c r="AW74" s="373"/>
      <c r="AX74" s="374"/>
      <c r="AY74" s="374"/>
      <c r="AZ74" s="373">
        <f>AZ79</f>
        <v>0</v>
      </c>
      <c r="BA74" s="377"/>
      <c r="BB74" s="373"/>
      <c r="BC74" s="374"/>
      <c r="BD74" s="374"/>
      <c r="BE74" s="373">
        <f>BE79</f>
        <v>0</v>
      </c>
      <c r="BF74" s="377"/>
      <c r="BG74" s="373"/>
      <c r="BH74" s="374"/>
      <c r="BI74" s="374"/>
      <c r="BJ74" s="373">
        <f>BJ79</f>
        <v>0</v>
      </c>
      <c r="BK74" s="377"/>
      <c r="BL74" s="373"/>
      <c r="BM74" s="374"/>
      <c r="BN74" s="374"/>
      <c r="BO74" s="373">
        <f>BO79</f>
        <v>0</v>
      </c>
      <c r="BP74" s="377"/>
      <c r="BQ74" s="373"/>
      <c r="BR74" s="374"/>
      <c r="BS74" s="374"/>
      <c r="BT74" s="373">
        <f>BT79</f>
        <v>0</v>
      </c>
      <c r="BU74" s="377"/>
      <c r="BV74" s="373"/>
      <c r="BW74" s="9"/>
    </row>
    <row r="75" spans="4:78" ht="12.75" hidden="1" customHeight="1" x14ac:dyDescent="0.2">
      <c r="D75" s="9" t="s">
        <v>353</v>
      </c>
      <c r="E75" s="156"/>
      <c r="F75" s="320"/>
      <c r="G75" s="385">
        <v>0</v>
      </c>
      <c r="H75" s="386"/>
      <c r="I75" s="373"/>
      <c r="J75" s="374"/>
      <c r="K75" s="387"/>
      <c r="L75" s="385">
        <f>L80</f>
        <v>0</v>
      </c>
      <c r="M75" s="386"/>
      <c r="N75" s="373"/>
      <c r="O75" s="374"/>
      <c r="P75" s="387"/>
      <c r="Q75" s="385">
        <f>Q80</f>
        <v>0</v>
      </c>
      <c r="R75" s="386"/>
      <c r="S75" s="373"/>
      <c r="T75" s="374"/>
      <c r="U75" s="387"/>
      <c r="V75" s="385">
        <f>V80</f>
        <v>0</v>
      </c>
      <c r="W75" s="386"/>
      <c r="X75" s="373"/>
      <c r="Y75" s="374"/>
      <c r="Z75" s="387"/>
      <c r="AA75" s="385">
        <f>AA80</f>
        <v>0</v>
      </c>
      <c r="AB75" s="386"/>
      <c r="AC75" s="373"/>
      <c r="AD75" s="374"/>
      <c r="AE75" s="387"/>
      <c r="AF75" s="385">
        <f>AF80</f>
        <v>0</v>
      </c>
      <c r="AG75" s="386"/>
      <c r="AH75" s="373"/>
      <c r="AI75" s="374"/>
      <c r="AJ75" s="387"/>
      <c r="AK75" s="385">
        <f>AK80</f>
        <v>0</v>
      </c>
      <c r="AL75" s="386"/>
      <c r="AM75" s="373"/>
      <c r="AN75" s="374"/>
      <c r="AO75" s="387"/>
      <c r="AP75" s="385">
        <f>AP80</f>
        <v>0</v>
      </c>
      <c r="AQ75" s="386"/>
      <c r="AR75" s="373"/>
      <c r="AS75" s="374"/>
      <c r="AT75" s="387"/>
      <c r="AU75" s="385">
        <f>AU80</f>
        <v>0</v>
      </c>
      <c r="AV75" s="386"/>
      <c r="AW75" s="373"/>
      <c r="AX75" s="374"/>
      <c r="AY75" s="387"/>
      <c r="AZ75" s="385">
        <f>AZ80</f>
        <v>0</v>
      </c>
      <c r="BA75" s="386"/>
      <c r="BB75" s="373"/>
      <c r="BC75" s="374"/>
      <c r="BD75" s="387"/>
      <c r="BE75" s="385">
        <f>BE80</f>
        <v>0</v>
      </c>
      <c r="BF75" s="386"/>
      <c r="BG75" s="373"/>
      <c r="BH75" s="374"/>
      <c r="BI75" s="387"/>
      <c r="BJ75" s="385">
        <f>BJ80</f>
        <v>0</v>
      </c>
      <c r="BK75" s="386"/>
      <c r="BL75" s="373"/>
      <c r="BM75" s="374"/>
      <c r="BN75" s="387"/>
      <c r="BO75" s="385">
        <f>BO80</f>
        <v>0</v>
      </c>
      <c r="BP75" s="386"/>
      <c r="BQ75" s="373"/>
      <c r="BR75" s="374"/>
      <c r="BS75" s="387"/>
      <c r="BT75" s="385">
        <f>BT80</f>
        <v>0</v>
      </c>
      <c r="BU75" s="386"/>
      <c r="BV75" s="373"/>
      <c r="BW75" s="9"/>
    </row>
    <row r="76" spans="4:78" ht="12.75" hidden="1" customHeight="1" x14ac:dyDescent="0.2">
      <c r="D76" s="9"/>
      <c r="E76" s="156"/>
      <c r="G76" s="373"/>
      <c r="H76" s="373"/>
      <c r="I76" s="373"/>
      <c r="J76" s="374"/>
      <c r="K76" s="373"/>
      <c r="L76" s="373"/>
      <c r="M76" s="373"/>
      <c r="N76" s="373"/>
      <c r="O76" s="374"/>
      <c r="P76" s="373"/>
      <c r="Q76" s="373"/>
      <c r="R76" s="373"/>
      <c r="S76" s="373"/>
      <c r="T76" s="374"/>
      <c r="U76" s="373"/>
      <c r="V76" s="373"/>
      <c r="W76" s="373"/>
      <c r="X76" s="373"/>
      <c r="Y76" s="374"/>
      <c r="Z76" s="373"/>
      <c r="AA76" s="373"/>
      <c r="AB76" s="373"/>
      <c r="AC76" s="373"/>
      <c r="AD76" s="374"/>
      <c r="AE76" s="373"/>
      <c r="AF76" s="373"/>
      <c r="AG76" s="373"/>
      <c r="AH76" s="373"/>
      <c r="AI76" s="374"/>
      <c r="AJ76" s="373"/>
      <c r="AK76" s="373"/>
      <c r="AL76" s="373"/>
      <c r="AM76" s="373"/>
      <c r="AN76" s="374"/>
      <c r="AO76" s="373"/>
      <c r="AP76" s="373"/>
      <c r="AQ76" s="373"/>
      <c r="AR76" s="373"/>
      <c r="AS76" s="374"/>
      <c r="AT76" s="373"/>
      <c r="AU76" s="373"/>
      <c r="AV76" s="373"/>
      <c r="AW76" s="373"/>
      <c r="AX76" s="374"/>
      <c r="AY76" s="373"/>
      <c r="AZ76" s="373"/>
      <c r="BA76" s="373"/>
      <c r="BB76" s="373"/>
      <c r="BC76" s="374"/>
      <c r="BD76" s="373"/>
      <c r="BE76" s="373"/>
      <c r="BF76" s="373"/>
      <c r="BG76" s="373"/>
      <c r="BH76" s="374"/>
      <c r="BI76" s="373"/>
      <c r="BJ76" s="373"/>
      <c r="BK76" s="373"/>
      <c r="BL76" s="373"/>
      <c r="BM76" s="374"/>
      <c r="BN76" s="373"/>
      <c r="BO76" s="373"/>
      <c r="BP76" s="373"/>
      <c r="BQ76" s="373"/>
      <c r="BR76" s="374"/>
      <c r="BS76" s="373"/>
      <c r="BT76" s="373"/>
      <c r="BU76" s="373"/>
      <c r="BV76" s="373"/>
      <c r="BW76" s="9"/>
    </row>
    <row r="77" spans="4:78" ht="12.75" hidden="1" customHeight="1" x14ac:dyDescent="0.2">
      <c r="D77" s="9" t="s">
        <v>457</v>
      </c>
      <c r="E77" s="156"/>
      <c r="G77" s="373">
        <v>0</v>
      </c>
      <c r="H77" s="373"/>
      <c r="I77" s="373"/>
      <c r="J77" s="374"/>
      <c r="K77" s="373"/>
      <c r="L77" s="373">
        <f>SUM(L78:L80)</f>
        <v>0</v>
      </c>
      <c r="M77" s="373"/>
      <c r="N77" s="373"/>
      <c r="O77" s="374"/>
      <c r="P77" s="373"/>
      <c r="Q77" s="373">
        <f>SUM(Q78:Q80)</f>
        <v>0</v>
      </c>
      <c r="R77" s="373"/>
      <c r="S77" s="373"/>
      <c r="T77" s="374"/>
      <c r="U77" s="373"/>
      <c r="V77" s="373">
        <f>SUM(V78:V80)</f>
        <v>0</v>
      </c>
      <c r="W77" s="373"/>
      <c r="X77" s="373"/>
      <c r="Y77" s="374"/>
      <c r="Z77" s="373"/>
      <c r="AA77" s="373">
        <f>SUM(AA78:AA80)</f>
        <v>0</v>
      </c>
      <c r="AB77" s="373"/>
      <c r="AC77" s="373"/>
      <c r="AD77" s="374"/>
      <c r="AE77" s="373"/>
      <c r="AF77" s="373">
        <f>SUM(AF78:AF80)</f>
        <v>0</v>
      </c>
      <c r="AG77" s="373"/>
      <c r="AH77" s="373"/>
      <c r="AI77" s="374"/>
      <c r="AJ77" s="373"/>
      <c r="AK77" s="373">
        <f>SUM(AK78:AK80)</f>
        <v>0</v>
      </c>
      <c r="AL77" s="373"/>
      <c r="AM77" s="373"/>
      <c r="AN77" s="374"/>
      <c r="AO77" s="373"/>
      <c r="AP77" s="373">
        <f>SUM(AP78:AP80)</f>
        <v>0</v>
      </c>
      <c r="AQ77" s="373"/>
      <c r="AR77" s="373"/>
      <c r="AS77" s="374"/>
      <c r="AT77" s="373"/>
      <c r="AU77" s="373">
        <f>SUM(AU78:AU80)</f>
        <v>0</v>
      </c>
      <c r="AV77" s="373"/>
      <c r="AW77" s="373"/>
      <c r="AX77" s="374"/>
      <c r="AY77" s="373"/>
      <c r="AZ77" s="373">
        <f>SUM(AZ78:AZ80)</f>
        <v>0</v>
      </c>
      <c r="BA77" s="373"/>
      <c r="BB77" s="373"/>
      <c r="BC77" s="374"/>
      <c r="BD77" s="373"/>
      <c r="BE77" s="373">
        <f>SUM(BE78:BE80)</f>
        <v>0</v>
      </c>
      <c r="BF77" s="373"/>
      <c r="BG77" s="373"/>
      <c r="BH77" s="374"/>
      <c r="BI77" s="373"/>
      <c r="BJ77" s="373">
        <f>SUM(BJ78:BJ80)</f>
        <v>0</v>
      </c>
      <c r="BK77" s="373"/>
      <c r="BL77" s="373"/>
      <c r="BM77" s="374"/>
      <c r="BN77" s="373"/>
      <c r="BO77" s="373">
        <f>SUM(BO78:BO80)</f>
        <v>0</v>
      </c>
      <c r="BP77" s="373"/>
      <c r="BQ77" s="373"/>
      <c r="BR77" s="374"/>
      <c r="BS77" s="373"/>
      <c r="BT77" s="373">
        <f>SUM(BT78:BT80)</f>
        <v>0</v>
      </c>
      <c r="BU77" s="373"/>
      <c r="BV77" s="373"/>
      <c r="BW77" s="9"/>
    </row>
    <row r="78" spans="4:78" ht="12.75" hidden="1" customHeight="1" x14ac:dyDescent="0.2">
      <c r="D78" s="9" t="s">
        <v>343</v>
      </c>
      <c r="E78" s="156"/>
      <c r="F78" s="309"/>
      <c r="G78" s="371">
        <v>0</v>
      </c>
      <c r="H78" s="372"/>
      <c r="I78" s="373"/>
      <c r="J78" s="374"/>
      <c r="K78" s="375"/>
      <c r="L78" s="371">
        <v>0</v>
      </c>
      <c r="M78" s="372"/>
      <c r="N78" s="373"/>
      <c r="O78" s="374"/>
      <c r="P78" s="375"/>
      <c r="Q78" s="371">
        <v>0</v>
      </c>
      <c r="R78" s="372"/>
      <c r="S78" s="373"/>
      <c r="T78" s="374"/>
      <c r="U78" s="375"/>
      <c r="V78" s="371">
        <v>0</v>
      </c>
      <c r="W78" s="372"/>
      <c r="X78" s="373"/>
      <c r="Y78" s="374"/>
      <c r="Z78" s="375"/>
      <c r="AA78" s="371">
        <v>0</v>
      </c>
      <c r="AB78" s="372"/>
      <c r="AC78" s="373"/>
      <c r="AD78" s="374"/>
      <c r="AE78" s="375"/>
      <c r="AF78" s="371">
        <v>0</v>
      </c>
      <c r="AG78" s="372"/>
      <c r="AH78" s="373"/>
      <c r="AI78" s="374"/>
      <c r="AJ78" s="375"/>
      <c r="AK78" s="371">
        <v>0</v>
      </c>
      <c r="AL78" s="372"/>
      <c r="AM78" s="373"/>
      <c r="AN78" s="374"/>
      <c r="AO78" s="375"/>
      <c r="AP78" s="371">
        <v>0</v>
      </c>
      <c r="AQ78" s="372"/>
      <c r="AR78" s="373"/>
      <c r="AS78" s="374"/>
      <c r="AT78" s="375"/>
      <c r="AU78" s="371">
        <v>0</v>
      </c>
      <c r="AV78" s="372"/>
      <c r="AW78" s="373"/>
      <c r="AX78" s="374"/>
      <c r="AY78" s="375"/>
      <c r="AZ78" s="371">
        <v>0</v>
      </c>
      <c r="BA78" s="372"/>
      <c r="BB78" s="373"/>
      <c r="BC78" s="374"/>
      <c r="BD78" s="375"/>
      <c r="BE78" s="371">
        <v>0</v>
      </c>
      <c r="BF78" s="372"/>
      <c r="BG78" s="373"/>
      <c r="BH78" s="374"/>
      <c r="BI78" s="375"/>
      <c r="BJ78" s="371">
        <v>0</v>
      </c>
      <c r="BK78" s="372"/>
      <c r="BL78" s="373"/>
      <c r="BM78" s="374"/>
      <c r="BN78" s="375"/>
      <c r="BO78" s="371">
        <v>0</v>
      </c>
      <c r="BP78" s="372"/>
      <c r="BQ78" s="373"/>
      <c r="BR78" s="374"/>
      <c r="BS78" s="375"/>
      <c r="BT78" s="371">
        <f>SUM(L78:BO78)</f>
        <v>0</v>
      </c>
      <c r="BU78" s="372"/>
      <c r="BV78" s="373"/>
      <c r="BW78" s="9"/>
    </row>
    <row r="79" spans="4:78" ht="12.75" hidden="1" customHeight="1" x14ac:dyDescent="0.2">
      <c r="D79" s="9" t="s">
        <v>345</v>
      </c>
      <c r="E79" s="156"/>
      <c r="F79" s="156"/>
      <c r="G79" s="373">
        <v>0</v>
      </c>
      <c r="H79" s="377"/>
      <c r="I79" s="373"/>
      <c r="J79" s="374"/>
      <c r="K79" s="374"/>
      <c r="L79" s="373">
        <v>0</v>
      </c>
      <c r="M79" s="377"/>
      <c r="N79" s="373"/>
      <c r="O79" s="374"/>
      <c r="P79" s="374"/>
      <c r="Q79" s="373">
        <v>0</v>
      </c>
      <c r="R79" s="377"/>
      <c r="S79" s="373"/>
      <c r="T79" s="374"/>
      <c r="U79" s="374"/>
      <c r="V79" s="373">
        <v>0</v>
      </c>
      <c r="W79" s="377"/>
      <c r="X79" s="373"/>
      <c r="Y79" s="374"/>
      <c r="Z79" s="374"/>
      <c r="AA79" s="373">
        <v>0</v>
      </c>
      <c r="AB79" s="377"/>
      <c r="AC79" s="373"/>
      <c r="AD79" s="374"/>
      <c r="AE79" s="374"/>
      <c r="AF79" s="373">
        <v>0</v>
      </c>
      <c r="AG79" s="377"/>
      <c r="AH79" s="373"/>
      <c r="AI79" s="374"/>
      <c r="AJ79" s="374"/>
      <c r="AK79" s="373">
        <v>0</v>
      </c>
      <c r="AL79" s="377"/>
      <c r="AM79" s="373"/>
      <c r="AN79" s="374"/>
      <c r="AO79" s="374"/>
      <c r="AP79" s="373">
        <v>0</v>
      </c>
      <c r="AQ79" s="377"/>
      <c r="AR79" s="373"/>
      <c r="AS79" s="374"/>
      <c r="AT79" s="374"/>
      <c r="AU79" s="373">
        <v>0</v>
      </c>
      <c r="AV79" s="377"/>
      <c r="AW79" s="373"/>
      <c r="AX79" s="374"/>
      <c r="AY79" s="374"/>
      <c r="AZ79" s="373">
        <v>0</v>
      </c>
      <c r="BA79" s="377"/>
      <c r="BB79" s="373"/>
      <c r="BC79" s="374"/>
      <c r="BD79" s="374"/>
      <c r="BE79" s="373">
        <v>0</v>
      </c>
      <c r="BF79" s="377"/>
      <c r="BG79" s="373"/>
      <c r="BH79" s="374"/>
      <c r="BI79" s="374"/>
      <c r="BJ79" s="373">
        <v>0</v>
      </c>
      <c r="BK79" s="377"/>
      <c r="BL79" s="373"/>
      <c r="BM79" s="374"/>
      <c r="BN79" s="374"/>
      <c r="BO79" s="373">
        <v>0</v>
      </c>
      <c r="BP79" s="377"/>
      <c r="BQ79" s="373"/>
      <c r="BR79" s="374"/>
      <c r="BS79" s="374"/>
      <c r="BT79" s="373">
        <f>SUM(L79:BO79)</f>
        <v>0</v>
      </c>
      <c r="BU79" s="377"/>
      <c r="BV79" s="373"/>
      <c r="BW79" s="9"/>
    </row>
    <row r="80" spans="4:78" ht="12.75" hidden="1" customHeight="1" x14ac:dyDescent="0.2">
      <c r="D80" s="9" t="s">
        <v>353</v>
      </c>
      <c r="E80" s="156"/>
      <c r="F80" s="320"/>
      <c r="G80" s="385">
        <v>0</v>
      </c>
      <c r="H80" s="386"/>
      <c r="I80" s="373"/>
      <c r="J80" s="374"/>
      <c r="K80" s="387"/>
      <c r="L80" s="385">
        <v>0</v>
      </c>
      <c r="M80" s="386"/>
      <c r="N80" s="373"/>
      <c r="O80" s="374"/>
      <c r="P80" s="387"/>
      <c r="Q80" s="385">
        <v>0</v>
      </c>
      <c r="R80" s="386"/>
      <c r="S80" s="373"/>
      <c r="T80" s="374"/>
      <c r="U80" s="387"/>
      <c r="V80" s="385">
        <v>0</v>
      </c>
      <c r="W80" s="386"/>
      <c r="X80" s="373"/>
      <c r="Y80" s="374"/>
      <c r="Z80" s="387"/>
      <c r="AA80" s="385">
        <v>0</v>
      </c>
      <c r="AB80" s="386"/>
      <c r="AC80" s="373"/>
      <c r="AD80" s="374"/>
      <c r="AE80" s="387"/>
      <c r="AF80" s="385">
        <v>0</v>
      </c>
      <c r="AG80" s="386"/>
      <c r="AH80" s="373"/>
      <c r="AI80" s="374"/>
      <c r="AJ80" s="387"/>
      <c r="AK80" s="385">
        <v>0</v>
      </c>
      <c r="AL80" s="386"/>
      <c r="AM80" s="373"/>
      <c r="AN80" s="374"/>
      <c r="AO80" s="387"/>
      <c r="AP80" s="385">
        <v>0</v>
      </c>
      <c r="AQ80" s="386"/>
      <c r="AR80" s="373"/>
      <c r="AS80" s="374"/>
      <c r="AT80" s="387"/>
      <c r="AU80" s="385">
        <v>0</v>
      </c>
      <c r="AV80" s="386"/>
      <c r="AW80" s="373"/>
      <c r="AX80" s="374"/>
      <c r="AY80" s="387"/>
      <c r="AZ80" s="385">
        <v>0</v>
      </c>
      <c r="BA80" s="386"/>
      <c r="BB80" s="373"/>
      <c r="BC80" s="374"/>
      <c r="BD80" s="387"/>
      <c r="BE80" s="385">
        <v>0</v>
      </c>
      <c r="BF80" s="386"/>
      <c r="BG80" s="373"/>
      <c r="BH80" s="374"/>
      <c r="BI80" s="387"/>
      <c r="BJ80" s="385">
        <v>0</v>
      </c>
      <c r="BK80" s="386"/>
      <c r="BL80" s="373"/>
      <c r="BM80" s="374"/>
      <c r="BN80" s="387"/>
      <c r="BO80" s="385">
        <v>0</v>
      </c>
      <c r="BP80" s="386"/>
      <c r="BQ80" s="373"/>
      <c r="BR80" s="374"/>
      <c r="BS80" s="387"/>
      <c r="BT80" s="385">
        <f>SUM(L80:BO80)</f>
        <v>0</v>
      </c>
      <c r="BU80" s="386"/>
      <c r="BV80" s="373"/>
      <c r="BW80" s="9"/>
    </row>
    <row r="81" spans="4:75" ht="12.75" hidden="1" customHeight="1" x14ac:dyDescent="0.2">
      <c r="D81" s="9"/>
      <c r="E81" s="156"/>
      <c r="G81" s="373"/>
      <c r="H81" s="373"/>
      <c r="I81" s="373"/>
      <c r="J81" s="374"/>
      <c r="K81" s="373"/>
      <c r="L81" s="373"/>
      <c r="M81" s="373"/>
      <c r="N81" s="373"/>
      <c r="O81" s="374"/>
      <c r="P81" s="373"/>
      <c r="Q81" s="373"/>
      <c r="R81" s="373"/>
      <c r="S81" s="373"/>
      <c r="T81" s="374"/>
      <c r="U81" s="373"/>
      <c r="V81" s="373"/>
      <c r="W81" s="373"/>
      <c r="X81" s="373"/>
      <c r="Y81" s="374"/>
      <c r="Z81" s="373"/>
      <c r="AA81" s="373"/>
      <c r="AB81" s="373"/>
      <c r="AC81" s="373"/>
      <c r="AD81" s="374"/>
      <c r="AE81" s="373"/>
      <c r="AF81" s="373"/>
      <c r="AG81" s="373"/>
      <c r="AH81" s="373"/>
      <c r="AI81" s="374"/>
      <c r="AJ81" s="373"/>
      <c r="AK81" s="373"/>
      <c r="AL81" s="373"/>
      <c r="AM81" s="373"/>
      <c r="AN81" s="374"/>
      <c r="AO81" s="373"/>
      <c r="AP81" s="373"/>
      <c r="AQ81" s="373"/>
      <c r="AR81" s="373"/>
      <c r="AS81" s="374"/>
      <c r="AT81" s="373"/>
      <c r="AU81" s="373"/>
      <c r="AV81" s="373"/>
      <c r="AW81" s="373"/>
      <c r="AX81" s="374"/>
      <c r="AY81" s="373"/>
      <c r="AZ81" s="373"/>
      <c r="BA81" s="373"/>
      <c r="BB81" s="373"/>
      <c r="BC81" s="374"/>
      <c r="BD81" s="373"/>
      <c r="BE81" s="373"/>
      <c r="BF81" s="373"/>
      <c r="BG81" s="373"/>
      <c r="BH81" s="374"/>
      <c r="BI81" s="373"/>
      <c r="BJ81" s="373"/>
      <c r="BK81" s="373"/>
      <c r="BL81" s="373"/>
      <c r="BM81" s="374"/>
      <c r="BN81" s="373"/>
      <c r="BO81" s="373"/>
      <c r="BP81" s="373"/>
      <c r="BQ81" s="373"/>
      <c r="BR81" s="374"/>
      <c r="BS81" s="373"/>
      <c r="BT81" s="373"/>
      <c r="BU81" s="373"/>
      <c r="BV81" s="373"/>
      <c r="BW81" s="9"/>
    </row>
    <row r="82" spans="4:75" ht="12.75" hidden="1" customHeight="1" x14ac:dyDescent="0.2">
      <c r="D82" s="9" t="s">
        <v>448</v>
      </c>
      <c r="E82" s="156"/>
      <c r="G82" s="373">
        <v>0</v>
      </c>
      <c r="H82" s="373"/>
      <c r="I82" s="373"/>
      <c r="J82" s="374"/>
      <c r="K82" s="373"/>
      <c r="L82" s="373">
        <f>SUM(L83:L85)</f>
        <v>0</v>
      </c>
      <c r="M82" s="373"/>
      <c r="N82" s="373"/>
      <c r="O82" s="374"/>
      <c r="P82" s="373"/>
      <c r="Q82" s="373">
        <f>SUM(Q83:Q85)</f>
        <v>0</v>
      </c>
      <c r="R82" s="373"/>
      <c r="S82" s="373"/>
      <c r="T82" s="374"/>
      <c r="U82" s="373"/>
      <c r="V82" s="373">
        <f>SUM(V83:V85)</f>
        <v>0</v>
      </c>
      <c r="W82" s="373"/>
      <c r="X82" s="373"/>
      <c r="Y82" s="374"/>
      <c r="Z82" s="373"/>
      <c r="AA82" s="373">
        <f>SUM(AA83:AA85)</f>
        <v>0</v>
      </c>
      <c r="AB82" s="373"/>
      <c r="AC82" s="373"/>
      <c r="AD82" s="374"/>
      <c r="AE82" s="373"/>
      <c r="AF82" s="373">
        <f>SUM(AF83:AF85)</f>
        <v>0</v>
      </c>
      <c r="AG82" s="373"/>
      <c r="AH82" s="373"/>
      <c r="AI82" s="374"/>
      <c r="AJ82" s="373"/>
      <c r="AK82" s="373">
        <f>SUM(AK83:AK85)</f>
        <v>0</v>
      </c>
      <c r="AL82" s="373"/>
      <c r="AM82" s="373"/>
      <c r="AN82" s="374"/>
      <c r="AO82" s="373"/>
      <c r="AP82" s="373">
        <f>SUM(AP83:AP85)</f>
        <v>0</v>
      </c>
      <c r="AQ82" s="373"/>
      <c r="AR82" s="373"/>
      <c r="AS82" s="374"/>
      <c r="AT82" s="373"/>
      <c r="AU82" s="373">
        <f>SUM(AU83:AU85)</f>
        <v>0</v>
      </c>
      <c r="AV82" s="373"/>
      <c r="AW82" s="373"/>
      <c r="AX82" s="374"/>
      <c r="AY82" s="373"/>
      <c r="AZ82" s="373">
        <f>SUM(AZ83:AZ85)</f>
        <v>0</v>
      </c>
      <c r="BA82" s="373"/>
      <c r="BB82" s="373"/>
      <c r="BC82" s="374"/>
      <c r="BD82" s="373"/>
      <c r="BE82" s="373">
        <f>SUM(BE83:BE85)</f>
        <v>0</v>
      </c>
      <c r="BF82" s="373"/>
      <c r="BG82" s="373"/>
      <c r="BH82" s="374"/>
      <c r="BI82" s="373"/>
      <c r="BJ82" s="373">
        <f>SUM(BJ83:BJ85)</f>
        <v>0</v>
      </c>
      <c r="BK82" s="373"/>
      <c r="BL82" s="373"/>
      <c r="BM82" s="374"/>
      <c r="BN82" s="373"/>
      <c r="BO82" s="373">
        <f>SUM(BO83:BO85)</f>
        <v>0</v>
      </c>
      <c r="BP82" s="373"/>
      <c r="BQ82" s="373"/>
      <c r="BR82" s="374"/>
      <c r="BS82" s="373"/>
      <c r="BT82" s="373">
        <f>SUM(BT83:BT85)</f>
        <v>0</v>
      </c>
      <c r="BU82" s="373"/>
      <c r="BV82" s="373"/>
      <c r="BW82" s="9"/>
    </row>
    <row r="83" spans="4:75" ht="12.75" hidden="1" customHeight="1" x14ac:dyDescent="0.2">
      <c r="D83" s="9" t="s">
        <v>343</v>
      </c>
      <c r="E83" s="156"/>
      <c r="F83" s="309"/>
      <c r="G83" s="371">
        <v>0</v>
      </c>
      <c r="H83" s="372"/>
      <c r="I83" s="373"/>
      <c r="J83" s="374"/>
      <c r="K83" s="375"/>
      <c r="L83" s="371">
        <v>0</v>
      </c>
      <c r="M83" s="372"/>
      <c r="N83" s="373"/>
      <c r="O83" s="374"/>
      <c r="P83" s="375"/>
      <c r="Q83" s="371">
        <v>0</v>
      </c>
      <c r="R83" s="372"/>
      <c r="S83" s="373"/>
      <c r="T83" s="374"/>
      <c r="U83" s="375"/>
      <c r="V83" s="371">
        <v>0</v>
      </c>
      <c r="W83" s="372"/>
      <c r="X83" s="373"/>
      <c r="Y83" s="374"/>
      <c r="Z83" s="375"/>
      <c r="AA83" s="371">
        <v>0</v>
      </c>
      <c r="AB83" s="372"/>
      <c r="AC83" s="373"/>
      <c r="AD83" s="374"/>
      <c r="AE83" s="375"/>
      <c r="AF83" s="371">
        <v>0</v>
      </c>
      <c r="AG83" s="372"/>
      <c r="AH83" s="373"/>
      <c r="AI83" s="374"/>
      <c r="AJ83" s="375"/>
      <c r="AK83" s="371">
        <v>0</v>
      </c>
      <c r="AL83" s="372"/>
      <c r="AM83" s="373"/>
      <c r="AN83" s="374"/>
      <c r="AO83" s="375"/>
      <c r="AP83" s="371">
        <v>0</v>
      </c>
      <c r="AQ83" s="372"/>
      <c r="AR83" s="373"/>
      <c r="AS83" s="374"/>
      <c r="AT83" s="375"/>
      <c r="AU83" s="371">
        <v>0</v>
      </c>
      <c r="AV83" s="372"/>
      <c r="AW83" s="373"/>
      <c r="AX83" s="374"/>
      <c r="AY83" s="375"/>
      <c r="AZ83" s="371">
        <v>0</v>
      </c>
      <c r="BA83" s="372"/>
      <c r="BB83" s="373"/>
      <c r="BC83" s="374"/>
      <c r="BD83" s="375"/>
      <c r="BE83" s="371">
        <v>0</v>
      </c>
      <c r="BF83" s="372"/>
      <c r="BG83" s="373"/>
      <c r="BH83" s="374"/>
      <c r="BI83" s="375"/>
      <c r="BJ83" s="371">
        <v>0</v>
      </c>
      <c r="BK83" s="372"/>
      <c r="BL83" s="373"/>
      <c r="BM83" s="374"/>
      <c r="BN83" s="375"/>
      <c r="BO83" s="371">
        <v>0</v>
      </c>
      <c r="BP83" s="372"/>
      <c r="BQ83" s="373"/>
      <c r="BR83" s="374"/>
      <c r="BS83" s="375"/>
      <c r="BT83" s="371">
        <f>SUM(L83:BO83)</f>
        <v>0</v>
      </c>
      <c r="BU83" s="372"/>
      <c r="BV83" s="373"/>
      <c r="BW83" s="9"/>
    </row>
    <row r="84" spans="4:75" ht="12.75" hidden="1" customHeight="1" x14ac:dyDescent="0.2">
      <c r="D84" s="9" t="s">
        <v>345</v>
      </c>
      <c r="E84" s="156"/>
      <c r="F84" s="156"/>
      <c r="G84" s="373">
        <v>0</v>
      </c>
      <c r="H84" s="377"/>
      <c r="I84" s="373"/>
      <c r="J84" s="374"/>
      <c r="K84" s="374"/>
      <c r="L84" s="373">
        <v>0</v>
      </c>
      <c r="M84" s="377"/>
      <c r="N84" s="373"/>
      <c r="O84" s="374"/>
      <c r="P84" s="374"/>
      <c r="Q84" s="373">
        <v>0</v>
      </c>
      <c r="R84" s="377"/>
      <c r="S84" s="373"/>
      <c r="T84" s="374"/>
      <c r="U84" s="374"/>
      <c r="V84" s="373">
        <v>0</v>
      </c>
      <c r="W84" s="377"/>
      <c r="X84" s="373"/>
      <c r="Y84" s="374"/>
      <c r="Z84" s="374"/>
      <c r="AA84" s="373">
        <v>0</v>
      </c>
      <c r="AB84" s="377"/>
      <c r="AC84" s="373"/>
      <c r="AD84" s="374"/>
      <c r="AE84" s="374"/>
      <c r="AF84" s="373">
        <v>0</v>
      </c>
      <c r="AG84" s="377"/>
      <c r="AH84" s="373"/>
      <c r="AI84" s="374"/>
      <c r="AJ84" s="374"/>
      <c r="AK84" s="373">
        <v>0</v>
      </c>
      <c r="AL84" s="377"/>
      <c r="AM84" s="373"/>
      <c r="AN84" s="374"/>
      <c r="AO84" s="374"/>
      <c r="AP84" s="373">
        <v>0</v>
      </c>
      <c r="AQ84" s="377"/>
      <c r="AR84" s="373"/>
      <c r="AS84" s="374"/>
      <c r="AT84" s="374"/>
      <c r="AU84" s="373">
        <v>0</v>
      </c>
      <c r="AV84" s="377"/>
      <c r="AW84" s="373"/>
      <c r="AX84" s="374"/>
      <c r="AY84" s="374"/>
      <c r="AZ84" s="373">
        <v>0</v>
      </c>
      <c r="BA84" s="377"/>
      <c r="BB84" s="373"/>
      <c r="BC84" s="374"/>
      <c r="BD84" s="374"/>
      <c r="BE84" s="373">
        <v>0</v>
      </c>
      <c r="BF84" s="377"/>
      <c r="BG84" s="373"/>
      <c r="BH84" s="374"/>
      <c r="BI84" s="374"/>
      <c r="BJ84" s="373">
        <v>0</v>
      </c>
      <c r="BK84" s="377"/>
      <c r="BL84" s="373"/>
      <c r="BM84" s="374"/>
      <c r="BN84" s="374"/>
      <c r="BO84" s="373">
        <v>0</v>
      </c>
      <c r="BP84" s="377"/>
      <c r="BQ84" s="373"/>
      <c r="BR84" s="374"/>
      <c r="BS84" s="374"/>
      <c r="BT84" s="373">
        <f>SUM(L84:BO84)</f>
        <v>0</v>
      </c>
      <c r="BU84" s="377"/>
      <c r="BV84" s="373"/>
      <c r="BW84" s="9"/>
    </row>
    <row r="85" spans="4:75" ht="12.75" hidden="1" customHeight="1" x14ac:dyDescent="0.2">
      <c r="D85" s="9" t="s">
        <v>353</v>
      </c>
      <c r="E85" s="156"/>
      <c r="F85" s="320"/>
      <c r="G85" s="385">
        <v>0</v>
      </c>
      <c r="H85" s="386"/>
      <c r="I85" s="373"/>
      <c r="J85" s="374"/>
      <c r="K85" s="387"/>
      <c r="L85" s="385">
        <v>0</v>
      </c>
      <c r="M85" s="386"/>
      <c r="N85" s="373"/>
      <c r="O85" s="374"/>
      <c r="P85" s="387"/>
      <c r="Q85" s="385">
        <v>0</v>
      </c>
      <c r="R85" s="386"/>
      <c r="S85" s="373"/>
      <c r="T85" s="374"/>
      <c r="U85" s="387"/>
      <c r="V85" s="385">
        <v>0</v>
      </c>
      <c r="W85" s="386"/>
      <c r="X85" s="373"/>
      <c r="Y85" s="374"/>
      <c r="Z85" s="387"/>
      <c r="AA85" s="385">
        <v>0</v>
      </c>
      <c r="AB85" s="386"/>
      <c r="AC85" s="373"/>
      <c r="AD85" s="374"/>
      <c r="AE85" s="387"/>
      <c r="AF85" s="385">
        <v>0</v>
      </c>
      <c r="AG85" s="386"/>
      <c r="AH85" s="373"/>
      <c r="AI85" s="374"/>
      <c r="AJ85" s="387"/>
      <c r="AK85" s="385">
        <v>0</v>
      </c>
      <c r="AL85" s="386"/>
      <c r="AM85" s="373"/>
      <c r="AN85" s="374"/>
      <c r="AO85" s="387"/>
      <c r="AP85" s="385">
        <v>0</v>
      </c>
      <c r="AQ85" s="386"/>
      <c r="AR85" s="373"/>
      <c r="AS85" s="374"/>
      <c r="AT85" s="387"/>
      <c r="AU85" s="385">
        <v>0</v>
      </c>
      <c r="AV85" s="386"/>
      <c r="AW85" s="373"/>
      <c r="AX85" s="374"/>
      <c r="AY85" s="387"/>
      <c r="AZ85" s="385">
        <v>0</v>
      </c>
      <c r="BA85" s="386"/>
      <c r="BB85" s="373"/>
      <c r="BC85" s="374"/>
      <c r="BD85" s="387"/>
      <c r="BE85" s="385">
        <v>0</v>
      </c>
      <c r="BF85" s="386"/>
      <c r="BG85" s="373"/>
      <c r="BH85" s="374"/>
      <c r="BI85" s="387"/>
      <c r="BJ85" s="385">
        <v>0</v>
      </c>
      <c r="BK85" s="386"/>
      <c r="BL85" s="373"/>
      <c r="BM85" s="374"/>
      <c r="BN85" s="387"/>
      <c r="BO85" s="385">
        <v>0</v>
      </c>
      <c r="BP85" s="386"/>
      <c r="BQ85" s="373"/>
      <c r="BR85" s="374"/>
      <c r="BS85" s="387"/>
      <c r="BT85" s="385">
        <f>SUM(L85:BO85)</f>
        <v>0</v>
      </c>
      <c r="BU85" s="386"/>
      <c r="BV85" s="373"/>
      <c r="BW85" s="9"/>
    </row>
    <row r="86" spans="4:75" ht="12.75" hidden="1" customHeight="1" x14ac:dyDescent="0.2">
      <c r="D86" s="9"/>
      <c r="E86" s="156"/>
      <c r="G86" s="373"/>
      <c r="H86" s="373"/>
      <c r="I86" s="373"/>
      <c r="J86" s="374"/>
      <c r="K86" s="373"/>
      <c r="L86" s="373"/>
      <c r="M86" s="373"/>
      <c r="N86" s="373"/>
      <c r="O86" s="374"/>
      <c r="P86" s="373"/>
      <c r="Q86" s="373"/>
      <c r="R86" s="373"/>
      <c r="S86" s="373"/>
      <c r="T86" s="374"/>
      <c r="U86" s="373"/>
      <c r="V86" s="373"/>
      <c r="W86" s="373"/>
      <c r="X86" s="373"/>
      <c r="Y86" s="374"/>
      <c r="Z86" s="373"/>
      <c r="AA86" s="373"/>
      <c r="AB86" s="373"/>
      <c r="AC86" s="373"/>
      <c r="AD86" s="374"/>
      <c r="AE86" s="373"/>
      <c r="AF86" s="373"/>
      <c r="AG86" s="373"/>
      <c r="AH86" s="373"/>
      <c r="AI86" s="374"/>
      <c r="AJ86" s="373"/>
      <c r="AK86" s="373"/>
      <c r="AL86" s="373"/>
      <c r="AM86" s="373"/>
      <c r="AN86" s="374"/>
      <c r="AO86" s="373"/>
      <c r="AP86" s="373"/>
      <c r="AQ86" s="373"/>
      <c r="AR86" s="373"/>
      <c r="AS86" s="374"/>
      <c r="AT86" s="373"/>
      <c r="AU86" s="373"/>
      <c r="AV86" s="373"/>
      <c r="AW86" s="373"/>
      <c r="AX86" s="374"/>
      <c r="AY86" s="373"/>
      <c r="AZ86" s="373"/>
      <c r="BA86" s="373"/>
      <c r="BB86" s="373"/>
      <c r="BC86" s="374"/>
      <c r="BD86" s="373"/>
      <c r="BE86" s="373"/>
      <c r="BF86" s="373"/>
      <c r="BG86" s="373"/>
      <c r="BH86" s="374"/>
      <c r="BI86" s="373"/>
      <c r="BJ86" s="373"/>
      <c r="BK86" s="373"/>
      <c r="BL86" s="373"/>
      <c r="BM86" s="374"/>
      <c r="BN86" s="373"/>
      <c r="BO86" s="373"/>
      <c r="BP86" s="373"/>
      <c r="BQ86" s="373"/>
      <c r="BR86" s="374"/>
      <c r="BS86" s="373"/>
      <c r="BT86" s="373"/>
      <c r="BU86" s="373"/>
      <c r="BV86" s="373"/>
      <c r="BW86" s="9"/>
    </row>
    <row r="87" spans="4:75" ht="12.75" hidden="1" customHeight="1" x14ac:dyDescent="0.2">
      <c r="D87" s="9" t="s">
        <v>458</v>
      </c>
      <c r="E87" s="156"/>
      <c r="G87" s="373">
        <v>0</v>
      </c>
      <c r="H87" s="373"/>
      <c r="I87" s="373"/>
      <c r="J87" s="374"/>
      <c r="K87" s="373"/>
      <c r="L87" s="373">
        <f>SUM(L88:L90)</f>
        <v>0</v>
      </c>
      <c r="M87" s="373"/>
      <c r="N87" s="373"/>
      <c r="O87" s="374"/>
      <c r="P87" s="373"/>
      <c r="Q87" s="373">
        <f>SUM(Q88:Q90)</f>
        <v>0</v>
      </c>
      <c r="R87" s="373"/>
      <c r="S87" s="373"/>
      <c r="T87" s="374"/>
      <c r="U87" s="373"/>
      <c r="V87" s="373">
        <f>SUM(V88:V90)</f>
        <v>0</v>
      </c>
      <c r="W87" s="373"/>
      <c r="X87" s="373"/>
      <c r="Y87" s="374"/>
      <c r="Z87" s="373"/>
      <c r="AA87" s="373">
        <f>SUM(AA88:AA90)</f>
        <v>0</v>
      </c>
      <c r="AB87" s="373"/>
      <c r="AC87" s="373"/>
      <c r="AD87" s="374"/>
      <c r="AE87" s="373"/>
      <c r="AF87" s="373">
        <f>SUM(AF88:AF90)</f>
        <v>0</v>
      </c>
      <c r="AG87" s="373"/>
      <c r="AH87" s="373"/>
      <c r="AI87" s="374"/>
      <c r="AJ87" s="373"/>
      <c r="AK87" s="373">
        <f>SUM(AK88:AK90)</f>
        <v>0</v>
      </c>
      <c r="AL87" s="373"/>
      <c r="AM87" s="373"/>
      <c r="AN87" s="374"/>
      <c r="AO87" s="373"/>
      <c r="AP87" s="373">
        <f>SUM(AP88:AP90)</f>
        <v>0</v>
      </c>
      <c r="AQ87" s="373"/>
      <c r="AR87" s="373"/>
      <c r="AS87" s="374"/>
      <c r="AT87" s="373"/>
      <c r="AU87" s="373">
        <f>SUM(AU88:AU90)</f>
        <v>0</v>
      </c>
      <c r="AV87" s="373"/>
      <c r="AW87" s="373"/>
      <c r="AX87" s="374"/>
      <c r="AY87" s="373"/>
      <c r="AZ87" s="373">
        <f>SUM(AZ88:AZ90)</f>
        <v>0</v>
      </c>
      <c r="BA87" s="373"/>
      <c r="BB87" s="373"/>
      <c r="BC87" s="374"/>
      <c r="BD87" s="373"/>
      <c r="BE87" s="373">
        <f>SUM(BE88:BE90)</f>
        <v>0</v>
      </c>
      <c r="BF87" s="373"/>
      <c r="BG87" s="373"/>
      <c r="BH87" s="374"/>
      <c r="BI87" s="373"/>
      <c r="BJ87" s="373">
        <f>SUM(BJ88:BJ90)</f>
        <v>0</v>
      </c>
      <c r="BK87" s="373"/>
      <c r="BL87" s="373"/>
      <c r="BM87" s="374"/>
      <c r="BN87" s="373"/>
      <c r="BO87" s="373">
        <f>SUM(BO88:BO90)</f>
        <v>0</v>
      </c>
      <c r="BP87" s="373"/>
      <c r="BQ87" s="373"/>
      <c r="BR87" s="374"/>
      <c r="BS87" s="373"/>
      <c r="BT87" s="373">
        <f>SUM(BT88:BT90)</f>
        <v>0</v>
      </c>
      <c r="BU87" s="373"/>
      <c r="BV87" s="373"/>
      <c r="BW87" s="9"/>
    </row>
    <row r="88" spans="4:75" ht="12.75" hidden="1" customHeight="1" x14ac:dyDescent="0.2">
      <c r="D88" s="9" t="s">
        <v>343</v>
      </c>
      <c r="E88" s="156"/>
      <c r="F88" s="309"/>
      <c r="G88" s="371">
        <v>0</v>
      </c>
      <c r="H88" s="372"/>
      <c r="I88" s="373"/>
      <c r="J88" s="374"/>
      <c r="K88" s="375"/>
      <c r="L88" s="371">
        <v>0</v>
      </c>
      <c r="M88" s="372"/>
      <c r="N88" s="373"/>
      <c r="O88" s="374"/>
      <c r="P88" s="375"/>
      <c r="Q88" s="371">
        <v>0</v>
      </c>
      <c r="R88" s="372"/>
      <c r="S88" s="373"/>
      <c r="T88" s="374"/>
      <c r="U88" s="375"/>
      <c r="V88" s="371">
        <v>0</v>
      </c>
      <c r="W88" s="372"/>
      <c r="X88" s="373"/>
      <c r="Y88" s="374"/>
      <c r="Z88" s="375"/>
      <c r="AA88" s="371">
        <v>0</v>
      </c>
      <c r="AB88" s="372"/>
      <c r="AC88" s="373"/>
      <c r="AD88" s="374"/>
      <c r="AE88" s="375"/>
      <c r="AF88" s="371">
        <v>0</v>
      </c>
      <c r="AG88" s="372"/>
      <c r="AH88" s="373"/>
      <c r="AI88" s="374"/>
      <c r="AJ88" s="375"/>
      <c r="AK88" s="371">
        <v>0</v>
      </c>
      <c r="AL88" s="372"/>
      <c r="AM88" s="373"/>
      <c r="AN88" s="374"/>
      <c r="AO88" s="375"/>
      <c r="AP88" s="371">
        <v>0</v>
      </c>
      <c r="AQ88" s="372"/>
      <c r="AR88" s="373"/>
      <c r="AS88" s="374"/>
      <c r="AT88" s="375"/>
      <c r="AU88" s="371">
        <v>0</v>
      </c>
      <c r="AV88" s="372"/>
      <c r="AW88" s="373"/>
      <c r="AX88" s="374"/>
      <c r="AY88" s="375"/>
      <c r="AZ88" s="371">
        <v>0</v>
      </c>
      <c r="BA88" s="372"/>
      <c r="BB88" s="373"/>
      <c r="BC88" s="374"/>
      <c r="BD88" s="375"/>
      <c r="BE88" s="371">
        <v>0</v>
      </c>
      <c r="BF88" s="372"/>
      <c r="BG88" s="373"/>
      <c r="BH88" s="374"/>
      <c r="BI88" s="375"/>
      <c r="BJ88" s="371">
        <v>0</v>
      </c>
      <c r="BK88" s="372"/>
      <c r="BL88" s="373"/>
      <c r="BM88" s="374"/>
      <c r="BN88" s="375"/>
      <c r="BO88" s="371">
        <v>0</v>
      </c>
      <c r="BP88" s="372"/>
      <c r="BQ88" s="373"/>
      <c r="BR88" s="374"/>
      <c r="BS88" s="375"/>
      <c r="BT88" s="371">
        <f>SUM(L88:BO88)</f>
        <v>0</v>
      </c>
      <c r="BU88" s="372"/>
      <c r="BV88" s="373"/>
      <c r="BW88" s="9"/>
    </row>
    <row r="89" spans="4:75" ht="12.75" hidden="1" customHeight="1" x14ac:dyDescent="0.2">
      <c r="D89" s="9" t="s">
        <v>345</v>
      </c>
      <c r="E89" s="156"/>
      <c r="F89" s="156"/>
      <c r="G89" s="373">
        <v>0</v>
      </c>
      <c r="H89" s="377"/>
      <c r="I89" s="373"/>
      <c r="J89" s="374"/>
      <c r="K89" s="374"/>
      <c r="L89" s="373">
        <v>0</v>
      </c>
      <c r="M89" s="377"/>
      <c r="N89" s="373"/>
      <c r="O89" s="374"/>
      <c r="P89" s="374"/>
      <c r="Q89" s="373">
        <v>0</v>
      </c>
      <c r="R89" s="377"/>
      <c r="S89" s="373"/>
      <c r="T89" s="374"/>
      <c r="U89" s="374"/>
      <c r="V89" s="373">
        <v>0</v>
      </c>
      <c r="W89" s="377"/>
      <c r="X89" s="373"/>
      <c r="Y89" s="374"/>
      <c r="Z89" s="374"/>
      <c r="AA89" s="373">
        <v>0</v>
      </c>
      <c r="AB89" s="377"/>
      <c r="AC89" s="373"/>
      <c r="AD89" s="374"/>
      <c r="AE89" s="374"/>
      <c r="AF89" s="373">
        <v>0</v>
      </c>
      <c r="AG89" s="377"/>
      <c r="AH89" s="373"/>
      <c r="AI89" s="374"/>
      <c r="AJ89" s="374"/>
      <c r="AK89" s="373">
        <v>0</v>
      </c>
      <c r="AL89" s="377"/>
      <c r="AM89" s="373"/>
      <c r="AN89" s="374"/>
      <c r="AO89" s="374"/>
      <c r="AP89" s="373">
        <v>0</v>
      </c>
      <c r="AQ89" s="377"/>
      <c r="AR89" s="373"/>
      <c r="AS89" s="374"/>
      <c r="AT89" s="374"/>
      <c r="AU89" s="373">
        <v>0</v>
      </c>
      <c r="AV89" s="377"/>
      <c r="AW89" s="373"/>
      <c r="AX89" s="374"/>
      <c r="AY89" s="374"/>
      <c r="AZ89" s="373">
        <v>0</v>
      </c>
      <c r="BA89" s="377"/>
      <c r="BB89" s="373"/>
      <c r="BC89" s="374"/>
      <c r="BD89" s="374"/>
      <c r="BE89" s="373">
        <v>0</v>
      </c>
      <c r="BF89" s="377"/>
      <c r="BG89" s="373"/>
      <c r="BH89" s="374"/>
      <c r="BI89" s="374"/>
      <c r="BJ89" s="373">
        <v>0</v>
      </c>
      <c r="BK89" s="377"/>
      <c r="BL89" s="373"/>
      <c r="BM89" s="374"/>
      <c r="BN89" s="374"/>
      <c r="BO89" s="373">
        <v>0</v>
      </c>
      <c r="BP89" s="377"/>
      <c r="BQ89" s="373"/>
      <c r="BR89" s="374"/>
      <c r="BS89" s="374"/>
      <c r="BT89" s="373">
        <f>SUM(L89:BO89)</f>
        <v>0</v>
      </c>
      <c r="BU89" s="377"/>
      <c r="BV89" s="373"/>
      <c r="BW89" s="9"/>
    </row>
    <row r="90" spans="4:75" ht="12.75" hidden="1" customHeight="1" x14ac:dyDescent="0.2">
      <c r="D90" s="9" t="s">
        <v>353</v>
      </c>
      <c r="E90" s="156"/>
      <c r="F90" s="320"/>
      <c r="G90" s="385">
        <v>0</v>
      </c>
      <c r="H90" s="386"/>
      <c r="I90" s="373"/>
      <c r="J90" s="374"/>
      <c r="K90" s="387"/>
      <c r="L90" s="385">
        <v>0</v>
      </c>
      <c r="M90" s="386"/>
      <c r="N90" s="373"/>
      <c r="O90" s="374"/>
      <c r="P90" s="387"/>
      <c r="Q90" s="385">
        <v>0</v>
      </c>
      <c r="R90" s="386"/>
      <c r="S90" s="373"/>
      <c r="T90" s="374"/>
      <c r="U90" s="387"/>
      <c r="V90" s="385">
        <v>0</v>
      </c>
      <c r="W90" s="386"/>
      <c r="X90" s="373"/>
      <c r="Y90" s="374"/>
      <c r="Z90" s="387"/>
      <c r="AA90" s="385">
        <v>0</v>
      </c>
      <c r="AB90" s="386"/>
      <c r="AC90" s="373"/>
      <c r="AD90" s="374"/>
      <c r="AE90" s="387"/>
      <c r="AF90" s="385">
        <v>0</v>
      </c>
      <c r="AG90" s="386"/>
      <c r="AH90" s="373"/>
      <c r="AI90" s="374"/>
      <c r="AJ90" s="387"/>
      <c r="AK90" s="385">
        <v>0</v>
      </c>
      <c r="AL90" s="386"/>
      <c r="AM90" s="373"/>
      <c r="AN90" s="374"/>
      <c r="AO90" s="387"/>
      <c r="AP90" s="385">
        <v>0</v>
      </c>
      <c r="AQ90" s="386"/>
      <c r="AR90" s="373"/>
      <c r="AS90" s="374"/>
      <c r="AT90" s="387"/>
      <c r="AU90" s="385">
        <v>0</v>
      </c>
      <c r="AV90" s="386"/>
      <c r="AW90" s="373"/>
      <c r="AX90" s="374"/>
      <c r="AY90" s="387"/>
      <c r="AZ90" s="385">
        <v>0</v>
      </c>
      <c r="BA90" s="386"/>
      <c r="BB90" s="373"/>
      <c r="BC90" s="374"/>
      <c r="BD90" s="387"/>
      <c r="BE90" s="385">
        <v>0</v>
      </c>
      <c r="BF90" s="386"/>
      <c r="BG90" s="373"/>
      <c r="BH90" s="374"/>
      <c r="BI90" s="387"/>
      <c r="BJ90" s="385">
        <v>0</v>
      </c>
      <c r="BK90" s="386"/>
      <c r="BL90" s="373"/>
      <c r="BM90" s="374"/>
      <c r="BN90" s="387"/>
      <c r="BO90" s="385">
        <v>0</v>
      </c>
      <c r="BP90" s="386"/>
      <c r="BQ90" s="373"/>
      <c r="BR90" s="374"/>
      <c r="BS90" s="387"/>
      <c r="BT90" s="385">
        <f>SUM(L90:BO90)</f>
        <v>0</v>
      </c>
      <c r="BU90" s="386"/>
      <c r="BV90" s="373"/>
      <c r="BW90" s="9"/>
    </row>
    <row r="91" spans="4:75" ht="12.75" hidden="1" customHeight="1" x14ac:dyDescent="0.2">
      <c r="D91" s="9"/>
      <c r="E91" s="156"/>
      <c r="G91" s="373"/>
      <c r="H91" s="373"/>
      <c r="I91" s="373"/>
      <c r="J91" s="374"/>
      <c r="K91" s="373"/>
      <c r="L91" s="373"/>
      <c r="M91" s="373"/>
      <c r="N91" s="373"/>
      <c r="O91" s="374"/>
      <c r="P91" s="373"/>
      <c r="Q91" s="373"/>
      <c r="R91" s="373"/>
      <c r="S91" s="373"/>
      <c r="T91" s="374"/>
      <c r="U91" s="373"/>
      <c r="V91" s="373"/>
      <c r="W91" s="373"/>
      <c r="X91" s="373"/>
      <c r="Y91" s="374"/>
      <c r="Z91" s="373"/>
      <c r="AA91" s="373"/>
      <c r="AB91" s="373"/>
      <c r="AC91" s="373"/>
      <c r="AD91" s="374"/>
      <c r="AE91" s="373"/>
      <c r="AF91" s="373"/>
      <c r="AG91" s="373"/>
      <c r="AH91" s="373"/>
      <c r="AI91" s="374"/>
      <c r="AJ91" s="373"/>
      <c r="AK91" s="373"/>
      <c r="AL91" s="373"/>
      <c r="AM91" s="373"/>
      <c r="AN91" s="374"/>
      <c r="AO91" s="373"/>
      <c r="AP91" s="373"/>
      <c r="AQ91" s="373"/>
      <c r="AR91" s="373"/>
      <c r="AS91" s="374"/>
      <c r="AT91" s="373"/>
      <c r="AU91" s="373"/>
      <c r="AV91" s="373"/>
      <c r="AW91" s="373"/>
      <c r="AX91" s="374"/>
      <c r="AY91" s="373"/>
      <c r="AZ91" s="373"/>
      <c r="BA91" s="373"/>
      <c r="BB91" s="373"/>
      <c r="BC91" s="374"/>
      <c r="BD91" s="373"/>
      <c r="BE91" s="373"/>
      <c r="BF91" s="373"/>
      <c r="BG91" s="373"/>
      <c r="BH91" s="374"/>
      <c r="BI91" s="373"/>
      <c r="BJ91" s="373"/>
      <c r="BK91" s="373"/>
      <c r="BL91" s="373"/>
      <c r="BM91" s="374"/>
      <c r="BN91" s="373"/>
      <c r="BO91" s="373"/>
      <c r="BP91" s="373"/>
      <c r="BQ91" s="373"/>
      <c r="BR91" s="374"/>
      <c r="BS91" s="373"/>
      <c r="BT91" s="373"/>
      <c r="BU91" s="373"/>
      <c r="BV91" s="373"/>
      <c r="BW91" s="9"/>
    </row>
    <row r="92" spans="4:75" ht="12.75" hidden="1" customHeight="1" x14ac:dyDescent="0.2">
      <c r="D92" s="9" t="s">
        <v>459</v>
      </c>
      <c r="E92" s="156"/>
      <c r="G92" s="373">
        <v>0</v>
      </c>
      <c r="H92" s="373"/>
      <c r="I92" s="373"/>
      <c r="J92" s="374"/>
      <c r="K92" s="373"/>
      <c r="L92" s="373">
        <f>SUM(L93:L95)</f>
        <v>0</v>
      </c>
      <c r="M92" s="373"/>
      <c r="N92" s="373"/>
      <c r="O92" s="374"/>
      <c r="P92" s="373"/>
      <c r="Q92" s="373">
        <f>SUM(Q93:Q95)</f>
        <v>0</v>
      </c>
      <c r="R92" s="373"/>
      <c r="S92" s="373"/>
      <c r="T92" s="374"/>
      <c r="U92" s="373"/>
      <c r="V92" s="373">
        <f>SUM(V93:V95)</f>
        <v>0</v>
      </c>
      <c r="W92" s="373"/>
      <c r="X92" s="373"/>
      <c r="Y92" s="374"/>
      <c r="Z92" s="373"/>
      <c r="AA92" s="373">
        <f>SUM(AA93:AA95)</f>
        <v>0</v>
      </c>
      <c r="AB92" s="373"/>
      <c r="AC92" s="373"/>
      <c r="AD92" s="374"/>
      <c r="AE92" s="373"/>
      <c r="AF92" s="373">
        <f>SUM(AF93:AF95)</f>
        <v>0</v>
      </c>
      <c r="AG92" s="373"/>
      <c r="AH92" s="373"/>
      <c r="AI92" s="374"/>
      <c r="AJ92" s="373"/>
      <c r="AK92" s="373">
        <f>SUM(AK93:AK95)</f>
        <v>0</v>
      </c>
      <c r="AL92" s="373"/>
      <c r="AM92" s="373"/>
      <c r="AN92" s="374"/>
      <c r="AO92" s="373"/>
      <c r="AP92" s="373">
        <f>SUM(AP93:AP95)</f>
        <v>0</v>
      </c>
      <c r="AQ92" s="373"/>
      <c r="AR92" s="373"/>
      <c r="AS92" s="374"/>
      <c r="AT92" s="373"/>
      <c r="AU92" s="373">
        <f>SUM(AU93:AU95)</f>
        <v>0</v>
      </c>
      <c r="AV92" s="373"/>
      <c r="AW92" s="373"/>
      <c r="AX92" s="374"/>
      <c r="AY92" s="373"/>
      <c r="AZ92" s="373">
        <f>SUM(AZ93:AZ95)</f>
        <v>0</v>
      </c>
      <c r="BA92" s="373"/>
      <c r="BB92" s="373"/>
      <c r="BC92" s="374"/>
      <c r="BD92" s="373"/>
      <c r="BE92" s="373">
        <f>SUM(BE93:BE95)</f>
        <v>0</v>
      </c>
      <c r="BF92" s="373"/>
      <c r="BG92" s="373"/>
      <c r="BH92" s="374"/>
      <c r="BI92" s="373"/>
      <c r="BJ92" s="373">
        <f>SUM(BJ93:BJ95)</f>
        <v>0</v>
      </c>
      <c r="BK92" s="373"/>
      <c r="BL92" s="373"/>
      <c r="BM92" s="374"/>
      <c r="BN92" s="373"/>
      <c r="BO92" s="373">
        <f>SUM(BO93:BO95)</f>
        <v>0</v>
      </c>
      <c r="BP92" s="373"/>
      <c r="BQ92" s="373"/>
      <c r="BR92" s="374"/>
      <c r="BS92" s="373"/>
      <c r="BT92" s="373">
        <f>SUM(BT93:BT95)</f>
        <v>0</v>
      </c>
      <c r="BU92" s="373"/>
      <c r="BV92" s="373"/>
      <c r="BW92" s="9"/>
    </row>
    <row r="93" spans="4:75" ht="12.75" hidden="1" customHeight="1" x14ac:dyDescent="0.2">
      <c r="D93" s="9" t="s">
        <v>343</v>
      </c>
      <c r="E93" s="156"/>
      <c r="F93" s="309"/>
      <c r="G93" s="371">
        <v>0</v>
      </c>
      <c r="H93" s="372"/>
      <c r="I93" s="373"/>
      <c r="J93" s="374"/>
      <c r="K93" s="375"/>
      <c r="L93" s="371">
        <v>0</v>
      </c>
      <c r="M93" s="372"/>
      <c r="N93" s="373"/>
      <c r="O93" s="374"/>
      <c r="P93" s="375"/>
      <c r="Q93" s="371">
        <v>0</v>
      </c>
      <c r="R93" s="372"/>
      <c r="S93" s="373"/>
      <c r="T93" s="374"/>
      <c r="U93" s="375"/>
      <c r="V93" s="371">
        <v>0</v>
      </c>
      <c r="W93" s="372"/>
      <c r="X93" s="373"/>
      <c r="Y93" s="374"/>
      <c r="Z93" s="375"/>
      <c r="AA93" s="371">
        <v>0</v>
      </c>
      <c r="AB93" s="372"/>
      <c r="AC93" s="373"/>
      <c r="AD93" s="374"/>
      <c r="AE93" s="375"/>
      <c r="AF93" s="371">
        <v>0</v>
      </c>
      <c r="AG93" s="372"/>
      <c r="AH93" s="373"/>
      <c r="AI93" s="374"/>
      <c r="AJ93" s="375"/>
      <c r="AK93" s="371">
        <v>0</v>
      </c>
      <c r="AL93" s="372"/>
      <c r="AM93" s="373"/>
      <c r="AN93" s="374"/>
      <c r="AO93" s="375"/>
      <c r="AP93" s="371">
        <v>0</v>
      </c>
      <c r="AQ93" s="372"/>
      <c r="AR93" s="373"/>
      <c r="AS93" s="374"/>
      <c r="AT93" s="375"/>
      <c r="AU93" s="371">
        <v>0</v>
      </c>
      <c r="AV93" s="372"/>
      <c r="AW93" s="373"/>
      <c r="AX93" s="374"/>
      <c r="AY93" s="375"/>
      <c r="AZ93" s="371">
        <v>0</v>
      </c>
      <c r="BA93" s="372"/>
      <c r="BB93" s="373"/>
      <c r="BC93" s="374"/>
      <c r="BD93" s="375"/>
      <c r="BE93" s="371">
        <v>0</v>
      </c>
      <c r="BF93" s="372"/>
      <c r="BG93" s="373"/>
      <c r="BH93" s="374"/>
      <c r="BI93" s="375"/>
      <c r="BJ93" s="371">
        <v>0</v>
      </c>
      <c r="BK93" s="372"/>
      <c r="BL93" s="373"/>
      <c r="BM93" s="374"/>
      <c r="BN93" s="375"/>
      <c r="BO93" s="371">
        <v>0</v>
      </c>
      <c r="BP93" s="372"/>
      <c r="BQ93" s="373"/>
      <c r="BR93" s="374"/>
      <c r="BS93" s="375"/>
      <c r="BT93" s="371">
        <f>SUM(L93:BO93)</f>
        <v>0</v>
      </c>
      <c r="BU93" s="372"/>
      <c r="BV93" s="373"/>
      <c r="BW93" s="9"/>
    </row>
    <row r="94" spans="4:75" ht="12.75" hidden="1" customHeight="1" x14ac:dyDescent="0.2">
      <c r="D94" s="9" t="s">
        <v>345</v>
      </c>
      <c r="E94" s="156"/>
      <c r="F94" s="156"/>
      <c r="G94" s="373">
        <v>0</v>
      </c>
      <c r="H94" s="377"/>
      <c r="I94" s="373"/>
      <c r="J94" s="374"/>
      <c r="K94" s="374"/>
      <c r="L94" s="373">
        <v>0</v>
      </c>
      <c r="M94" s="377"/>
      <c r="N94" s="373"/>
      <c r="O94" s="374"/>
      <c r="P94" s="374"/>
      <c r="Q94" s="373">
        <v>0</v>
      </c>
      <c r="R94" s="377"/>
      <c r="S94" s="373"/>
      <c r="T94" s="374"/>
      <c r="U94" s="374"/>
      <c r="V94" s="373">
        <v>0</v>
      </c>
      <c r="W94" s="377"/>
      <c r="X94" s="373"/>
      <c r="Y94" s="374"/>
      <c r="Z94" s="374"/>
      <c r="AA94" s="373">
        <v>0</v>
      </c>
      <c r="AB94" s="377"/>
      <c r="AC94" s="373"/>
      <c r="AD94" s="374"/>
      <c r="AE94" s="374"/>
      <c r="AF94" s="373">
        <v>0</v>
      </c>
      <c r="AG94" s="377"/>
      <c r="AH94" s="373"/>
      <c r="AI94" s="374"/>
      <c r="AJ94" s="374"/>
      <c r="AK94" s="373">
        <v>0</v>
      </c>
      <c r="AL94" s="377"/>
      <c r="AM94" s="373"/>
      <c r="AN94" s="374"/>
      <c r="AO94" s="374"/>
      <c r="AP94" s="373">
        <v>0</v>
      </c>
      <c r="AQ94" s="377"/>
      <c r="AR94" s="373"/>
      <c r="AS94" s="374"/>
      <c r="AT94" s="374"/>
      <c r="AU94" s="373">
        <v>0</v>
      </c>
      <c r="AV94" s="377"/>
      <c r="AW94" s="373"/>
      <c r="AX94" s="374"/>
      <c r="AY94" s="374"/>
      <c r="AZ94" s="373">
        <v>0</v>
      </c>
      <c r="BA94" s="377"/>
      <c r="BB94" s="373"/>
      <c r="BC94" s="374"/>
      <c r="BD94" s="374"/>
      <c r="BE94" s="373">
        <v>0</v>
      </c>
      <c r="BF94" s="377"/>
      <c r="BG94" s="373"/>
      <c r="BH94" s="374"/>
      <c r="BI94" s="374"/>
      <c r="BJ94" s="373">
        <v>0</v>
      </c>
      <c r="BK94" s="377"/>
      <c r="BL94" s="373"/>
      <c r="BM94" s="374"/>
      <c r="BN94" s="374"/>
      <c r="BO94" s="373">
        <v>0</v>
      </c>
      <c r="BP94" s="377"/>
      <c r="BQ94" s="373"/>
      <c r="BR94" s="374"/>
      <c r="BS94" s="374"/>
      <c r="BT94" s="373">
        <f>SUM(L94:BO94)</f>
        <v>0</v>
      </c>
      <c r="BU94" s="377"/>
      <c r="BV94" s="373"/>
      <c r="BW94" s="9"/>
    </row>
    <row r="95" spans="4:75" ht="12.75" hidden="1" customHeight="1" x14ac:dyDescent="0.2">
      <c r="D95" s="9" t="s">
        <v>353</v>
      </c>
      <c r="E95" s="156"/>
      <c r="F95" s="320"/>
      <c r="G95" s="385">
        <v>0</v>
      </c>
      <c r="H95" s="386"/>
      <c r="I95" s="373"/>
      <c r="J95" s="374"/>
      <c r="K95" s="387"/>
      <c r="L95" s="385">
        <v>0</v>
      </c>
      <c r="M95" s="386"/>
      <c r="N95" s="373"/>
      <c r="O95" s="374"/>
      <c r="P95" s="387"/>
      <c r="Q95" s="385">
        <v>0</v>
      </c>
      <c r="R95" s="386"/>
      <c r="S95" s="373"/>
      <c r="T95" s="374"/>
      <c r="U95" s="387"/>
      <c r="V95" s="385">
        <v>0</v>
      </c>
      <c r="W95" s="386"/>
      <c r="X95" s="373"/>
      <c r="Y95" s="374"/>
      <c r="Z95" s="387"/>
      <c r="AA95" s="385">
        <v>0</v>
      </c>
      <c r="AB95" s="386"/>
      <c r="AC95" s="373"/>
      <c r="AD95" s="374"/>
      <c r="AE95" s="387"/>
      <c r="AF95" s="385">
        <v>0</v>
      </c>
      <c r="AG95" s="386"/>
      <c r="AH95" s="373"/>
      <c r="AI95" s="374"/>
      <c r="AJ95" s="387"/>
      <c r="AK95" s="385">
        <v>0</v>
      </c>
      <c r="AL95" s="386"/>
      <c r="AM95" s="373"/>
      <c r="AN95" s="374"/>
      <c r="AO95" s="387"/>
      <c r="AP95" s="385">
        <v>0</v>
      </c>
      <c r="AQ95" s="386"/>
      <c r="AR95" s="373"/>
      <c r="AS95" s="374"/>
      <c r="AT95" s="387"/>
      <c r="AU95" s="385">
        <v>0</v>
      </c>
      <c r="AV95" s="386"/>
      <c r="AW95" s="373"/>
      <c r="AX95" s="374"/>
      <c r="AY95" s="387"/>
      <c r="AZ95" s="385">
        <v>0</v>
      </c>
      <c r="BA95" s="386"/>
      <c r="BB95" s="373"/>
      <c r="BC95" s="374"/>
      <c r="BD95" s="387"/>
      <c r="BE95" s="385">
        <v>0</v>
      </c>
      <c r="BF95" s="386"/>
      <c r="BG95" s="373"/>
      <c r="BH95" s="374"/>
      <c r="BI95" s="387"/>
      <c r="BJ95" s="385">
        <v>0</v>
      </c>
      <c r="BK95" s="386"/>
      <c r="BL95" s="373"/>
      <c r="BM95" s="374"/>
      <c r="BN95" s="387"/>
      <c r="BO95" s="385">
        <v>0</v>
      </c>
      <c r="BP95" s="386"/>
      <c r="BQ95" s="373"/>
      <c r="BR95" s="374"/>
      <c r="BS95" s="387"/>
      <c r="BT95" s="385">
        <f>SUM(L95:BO95)</f>
        <v>0</v>
      </c>
      <c r="BU95" s="386"/>
      <c r="BV95" s="373"/>
      <c r="BW95" s="9"/>
    </row>
    <row r="96" spans="4:75" ht="12.75" hidden="1" customHeight="1" x14ac:dyDescent="0.2">
      <c r="D96" s="9"/>
      <c r="E96" s="156"/>
      <c r="G96" s="373"/>
      <c r="H96" s="373"/>
      <c r="I96" s="373"/>
      <c r="J96" s="374"/>
      <c r="K96" s="373"/>
      <c r="L96" s="373"/>
      <c r="M96" s="373"/>
      <c r="N96" s="373"/>
      <c r="O96" s="374"/>
      <c r="P96" s="373"/>
      <c r="Q96" s="373"/>
      <c r="R96" s="373"/>
      <c r="S96" s="373"/>
      <c r="T96" s="374"/>
      <c r="U96" s="373"/>
      <c r="V96" s="373"/>
      <c r="W96" s="373"/>
      <c r="X96" s="373"/>
      <c r="Y96" s="374"/>
      <c r="Z96" s="373"/>
      <c r="AA96" s="373"/>
      <c r="AB96" s="373"/>
      <c r="AC96" s="373"/>
      <c r="AD96" s="374"/>
      <c r="AE96" s="373"/>
      <c r="AF96" s="373"/>
      <c r="AG96" s="373"/>
      <c r="AH96" s="373"/>
      <c r="AI96" s="374"/>
      <c r="AJ96" s="373"/>
      <c r="AK96" s="373"/>
      <c r="AL96" s="373"/>
      <c r="AM96" s="373"/>
      <c r="AN96" s="374"/>
      <c r="AO96" s="373"/>
      <c r="AP96" s="373"/>
      <c r="AQ96" s="373"/>
      <c r="AR96" s="373"/>
      <c r="AS96" s="374"/>
      <c r="AT96" s="373"/>
      <c r="AU96" s="373"/>
      <c r="AV96" s="373"/>
      <c r="AW96" s="373"/>
      <c r="AX96" s="374"/>
      <c r="AY96" s="373"/>
      <c r="AZ96" s="373"/>
      <c r="BA96" s="373"/>
      <c r="BB96" s="373"/>
      <c r="BC96" s="374"/>
      <c r="BD96" s="373"/>
      <c r="BE96" s="373"/>
      <c r="BF96" s="373"/>
      <c r="BG96" s="373"/>
      <c r="BH96" s="374"/>
      <c r="BI96" s="373"/>
      <c r="BJ96" s="373"/>
      <c r="BK96" s="373"/>
      <c r="BL96" s="373"/>
      <c r="BM96" s="374"/>
      <c r="BN96" s="373"/>
      <c r="BO96" s="373"/>
      <c r="BP96" s="373"/>
      <c r="BQ96" s="373"/>
      <c r="BR96" s="374"/>
      <c r="BS96" s="373"/>
      <c r="BT96" s="373"/>
      <c r="BU96" s="373"/>
      <c r="BV96" s="373"/>
      <c r="BW96" s="9"/>
    </row>
    <row r="97" spans="4:75" ht="12.75" hidden="1" customHeight="1" x14ac:dyDescent="0.2">
      <c r="D97" s="9" t="s">
        <v>460</v>
      </c>
      <c r="E97" s="156"/>
      <c r="G97" s="373">
        <v>0</v>
      </c>
      <c r="H97" s="373"/>
      <c r="I97" s="373"/>
      <c r="J97" s="374"/>
      <c r="K97" s="373"/>
      <c r="L97" s="373">
        <f>SUM(L98:L100)</f>
        <v>0</v>
      </c>
      <c r="M97" s="373"/>
      <c r="N97" s="373"/>
      <c r="O97" s="374"/>
      <c r="P97" s="373"/>
      <c r="Q97" s="373">
        <f>SUM(Q98:Q100)</f>
        <v>0</v>
      </c>
      <c r="R97" s="373"/>
      <c r="S97" s="373"/>
      <c r="T97" s="374"/>
      <c r="U97" s="373"/>
      <c r="V97" s="373">
        <f>SUM(V98:V100)</f>
        <v>0</v>
      </c>
      <c r="W97" s="373"/>
      <c r="X97" s="373"/>
      <c r="Y97" s="374"/>
      <c r="Z97" s="373"/>
      <c r="AA97" s="373">
        <f>SUM(AA98:AA100)</f>
        <v>0</v>
      </c>
      <c r="AB97" s="373"/>
      <c r="AC97" s="373"/>
      <c r="AD97" s="374"/>
      <c r="AE97" s="373"/>
      <c r="AF97" s="373">
        <f>SUM(AF98:AF100)</f>
        <v>0</v>
      </c>
      <c r="AG97" s="373"/>
      <c r="AH97" s="373"/>
      <c r="AI97" s="374"/>
      <c r="AJ97" s="373"/>
      <c r="AK97" s="373">
        <f>SUM(AK98:AK100)</f>
        <v>0</v>
      </c>
      <c r="AL97" s="373"/>
      <c r="AM97" s="373"/>
      <c r="AN97" s="374"/>
      <c r="AO97" s="373"/>
      <c r="AP97" s="373">
        <f>SUM(AP98:AP100)</f>
        <v>0</v>
      </c>
      <c r="AQ97" s="373"/>
      <c r="AR97" s="373"/>
      <c r="AS97" s="374"/>
      <c r="AT97" s="373"/>
      <c r="AU97" s="373">
        <f>SUM(AU98:AU100)</f>
        <v>0</v>
      </c>
      <c r="AV97" s="373"/>
      <c r="AW97" s="373"/>
      <c r="AX97" s="374"/>
      <c r="AY97" s="373"/>
      <c r="AZ97" s="373">
        <f>SUM(AZ98:AZ100)</f>
        <v>0</v>
      </c>
      <c r="BA97" s="373"/>
      <c r="BB97" s="373"/>
      <c r="BC97" s="374"/>
      <c r="BD97" s="373"/>
      <c r="BE97" s="373">
        <f>SUM(BE98:BE100)</f>
        <v>0</v>
      </c>
      <c r="BF97" s="373"/>
      <c r="BG97" s="373"/>
      <c r="BH97" s="374"/>
      <c r="BI97" s="373"/>
      <c r="BJ97" s="373">
        <f>SUM(BJ98:BJ100)</f>
        <v>0</v>
      </c>
      <c r="BK97" s="373"/>
      <c r="BL97" s="373"/>
      <c r="BM97" s="374"/>
      <c r="BN97" s="373"/>
      <c r="BO97" s="373">
        <f>SUM(BO98:BO100)</f>
        <v>0</v>
      </c>
      <c r="BP97" s="373"/>
      <c r="BQ97" s="373"/>
      <c r="BR97" s="374"/>
      <c r="BS97" s="373"/>
      <c r="BT97" s="373">
        <f>SUM(BT98:BT100)</f>
        <v>0</v>
      </c>
      <c r="BU97" s="373"/>
      <c r="BV97" s="373"/>
      <c r="BW97" s="9"/>
    </row>
    <row r="98" spans="4:75" ht="12.75" hidden="1" customHeight="1" x14ac:dyDescent="0.2">
      <c r="D98" s="9" t="s">
        <v>343</v>
      </c>
      <c r="E98" s="156"/>
      <c r="F98" s="309"/>
      <c r="G98" s="371">
        <v>0</v>
      </c>
      <c r="H98" s="372"/>
      <c r="I98" s="373"/>
      <c r="J98" s="374"/>
      <c r="K98" s="375"/>
      <c r="L98" s="371">
        <v>0</v>
      </c>
      <c r="M98" s="372"/>
      <c r="N98" s="373"/>
      <c r="O98" s="374"/>
      <c r="P98" s="375"/>
      <c r="Q98" s="371">
        <v>0</v>
      </c>
      <c r="R98" s="372"/>
      <c r="S98" s="373"/>
      <c r="T98" s="374"/>
      <c r="U98" s="375"/>
      <c r="V98" s="371">
        <v>0</v>
      </c>
      <c r="W98" s="372"/>
      <c r="X98" s="373"/>
      <c r="Y98" s="374"/>
      <c r="Z98" s="375"/>
      <c r="AA98" s="371">
        <v>0</v>
      </c>
      <c r="AB98" s="372"/>
      <c r="AC98" s="373"/>
      <c r="AD98" s="374"/>
      <c r="AE98" s="375"/>
      <c r="AF98" s="371">
        <v>0</v>
      </c>
      <c r="AG98" s="372"/>
      <c r="AH98" s="373"/>
      <c r="AI98" s="374"/>
      <c r="AJ98" s="375"/>
      <c r="AK98" s="371">
        <v>0</v>
      </c>
      <c r="AL98" s="372"/>
      <c r="AM98" s="373"/>
      <c r="AN98" s="374"/>
      <c r="AO98" s="375"/>
      <c r="AP98" s="371">
        <v>0</v>
      </c>
      <c r="AQ98" s="372"/>
      <c r="AR98" s="373"/>
      <c r="AS98" s="374"/>
      <c r="AT98" s="375"/>
      <c r="AU98" s="371">
        <v>0</v>
      </c>
      <c r="AV98" s="372"/>
      <c r="AW98" s="373"/>
      <c r="AX98" s="374"/>
      <c r="AY98" s="375"/>
      <c r="AZ98" s="371">
        <v>0</v>
      </c>
      <c r="BA98" s="372"/>
      <c r="BB98" s="373"/>
      <c r="BC98" s="374"/>
      <c r="BD98" s="375"/>
      <c r="BE98" s="371">
        <v>0</v>
      </c>
      <c r="BF98" s="372"/>
      <c r="BG98" s="373"/>
      <c r="BH98" s="374"/>
      <c r="BI98" s="375"/>
      <c r="BJ98" s="371">
        <v>0</v>
      </c>
      <c r="BK98" s="372"/>
      <c r="BL98" s="373"/>
      <c r="BM98" s="374"/>
      <c r="BN98" s="375"/>
      <c r="BO98" s="371">
        <v>0</v>
      </c>
      <c r="BP98" s="372"/>
      <c r="BQ98" s="373"/>
      <c r="BR98" s="374"/>
      <c r="BS98" s="375"/>
      <c r="BT98" s="371">
        <f>SUM(L98:BO98)</f>
        <v>0</v>
      </c>
      <c r="BU98" s="372"/>
      <c r="BV98" s="373"/>
      <c r="BW98" s="9"/>
    </row>
    <row r="99" spans="4:75" ht="12.75" hidden="1" customHeight="1" x14ac:dyDescent="0.2">
      <c r="D99" s="9" t="s">
        <v>345</v>
      </c>
      <c r="E99" s="156"/>
      <c r="F99" s="156"/>
      <c r="G99" s="373">
        <v>0</v>
      </c>
      <c r="H99" s="377"/>
      <c r="I99" s="373"/>
      <c r="J99" s="374"/>
      <c r="K99" s="374"/>
      <c r="L99" s="373">
        <v>0</v>
      </c>
      <c r="M99" s="377"/>
      <c r="N99" s="373"/>
      <c r="O99" s="374"/>
      <c r="P99" s="374"/>
      <c r="Q99" s="373">
        <v>0</v>
      </c>
      <c r="R99" s="377"/>
      <c r="S99" s="373"/>
      <c r="T99" s="374"/>
      <c r="U99" s="374"/>
      <c r="V99" s="373">
        <v>0</v>
      </c>
      <c r="W99" s="377"/>
      <c r="X99" s="373"/>
      <c r="Y99" s="374"/>
      <c r="Z99" s="374"/>
      <c r="AA99" s="373">
        <v>0</v>
      </c>
      <c r="AB99" s="377"/>
      <c r="AC99" s="373"/>
      <c r="AD99" s="374"/>
      <c r="AE99" s="374"/>
      <c r="AF99" s="373">
        <v>0</v>
      </c>
      <c r="AG99" s="377"/>
      <c r="AH99" s="373"/>
      <c r="AI99" s="374"/>
      <c r="AJ99" s="374"/>
      <c r="AK99" s="373">
        <v>0</v>
      </c>
      <c r="AL99" s="377"/>
      <c r="AM99" s="373"/>
      <c r="AN99" s="374"/>
      <c r="AO99" s="374"/>
      <c r="AP99" s="373">
        <v>0</v>
      </c>
      <c r="AQ99" s="377"/>
      <c r="AR99" s="373"/>
      <c r="AS99" s="374"/>
      <c r="AT99" s="374"/>
      <c r="AU99" s="373">
        <v>0</v>
      </c>
      <c r="AV99" s="377"/>
      <c r="AW99" s="373"/>
      <c r="AX99" s="374"/>
      <c r="AY99" s="374"/>
      <c r="AZ99" s="373">
        <v>0</v>
      </c>
      <c r="BA99" s="377"/>
      <c r="BB99" s="373"/>
      <c r="BC99" s="374"/>
      <c r="BD99" s="374"/>
      <c r="BE99" s="373">
        <v>0</v>
      </c>
      <c r="BF99" s="377"/>
      <c r="BG99" s="373"/>
      <c r="BH99" s="374"/>
      <c r="BI99" s="374"/>
      <c r="BJ99" s="373">
        <v>0</v>
      </c>
      <c r="BK99" s="377"/>
      <c r="BL99" s="373"/>
      <c r="BM99" s="374"/>
      <c r="BN99" s="374"/>
      <c r="BO99" s="373">
        <v>0</v>
      </c>
      <c r="BP99" s="377"/>
      <c r="BQ99" s="373"/>
      <c r="BR99" s="374"/>
      <c r="BS99" s="374"/>
      <c r="BT99" s="373">
        <f>SUM(L99:BO99)</f>
        <v>0</v>
      </c>
      <c r="BU99" s="377"/>
      <c r="BV99" s="373"/>
      <c r="BW99" s="9"/>
    </row>
    <row r="100" spans="4:75" ht="12.75" hidden="1" customHeight="1" x14ac:dyDescent="0.2">
      <c r="D100" s="9" t="s">
        <v>353</v>
      </c>
      <c r="E100" s="156"/>
      <c r="F100" s="320"/>
      <c r="G100" s="385">
        <v>0</v>
      </c>
      <c r="H100" s="386"/>
      <c r="I100" s="373"/>
      <c r="J100" s="374"/>
      <c r="K100" s="387"/>
      <c r="L100" s="385">
        <v>0</v>
      </c>
      <c r="M100" s="386"/>
      <c r="N100" s="373"/>
      <c r="O100" s="374"/>
      <c r="P100" s="387"/>
      <c r="Q100" s="385">
        <v>0</v>
      </c>
      <c r="R100" s="386"/>
      <c r="S100" s="373"/>
      <c r="T100" s="374"/>
      <c r="U100" s="387"/>
      <c r="V100" s="385">
        <v>0</v>
      </c>
      <c r="W100" s="386"/>
      <c r="X100" s="373"/>
      <c r="Y100" s="374"/>
      <c r="Z100" s="387"/>
      <c r="AA100" s="385">
        <v>0</v>
      </c>
      <c r="AB100" s="386"/>
      <c r="AC100" s="373"/>
      <c r="AD100" s="374"/>
      <c r="AE100" s="387"/>
      <c r="AF100" s="385">
        <v>0</v>
      </c>
      <c r="AG100" s="386"/>
      <c r="AH100" s="373"/>
      <c r="AI100" s="374"/>
      <c r="AJ100" s="387"/>
      <c r="AK100" s="385">
        <v>0</v>
      </c>
      <c r="AL100" s="386"/>
      <c r="AM100" s="373"/>
      <c r="AN100" s="374"/>
      <c r="AO100" s="387"/>
      <c r="AP100" s="385">
        <v>0</v>
      </c>
      <c r="AQ100" s="386"/>
      <c r="AR100" s="373"/>
      <c r="AS100" s="374"/>
      <c r="AT100" s="387"/>
      <c r="AU100" s="385">
        <v>0</v>
      </c>
      <c r="AV100" s="386"/>
      <c r="AW100" s="373"/>
      <c r="AX100" s="374"/>
      <c r="AY100" s="387"/>
      <c r="AZ100" s="385">
        <v>0</v>
      </c>
      <c r="BA100" s="386"/>
      <c r="BB100" s="373"/>
      <c r="BC100" s="374"/>
      <c r="BD100" s="387"/>
      <c r="BE100" s="385">
        <v>0</v>
      </c>
      <c r="BF100" s="386"/>
      <c r="BG100" s="373"/>
      <c r="BH100" s="374"/>
      <c r="BI100" s="387"/>
      <c r="BJ100" s="385">
        <v>0</v>
      </c>
      <c r="BK100" s="386"/>
      <c r="BL100" s="373"/>
      <c r="BM100" s="374"/>
      <c r="BN100" s="387"/>
      <c r="BO100" s="385">
        <v>0</v>
      </c>
      <c r="BP100" s="386"/>
      <c r="BQ100" s="373"/>
      <c r="BR100" s="374"/>
      <c r="BS100" s="387"/>
      <c r="BT100" s="385">
        <f>SUM(L100:BO100)</f>
        <v>0</v>
      </c>
      <c r="BU100" s="386"/>
      <c r="BV100" s="373"/>
      <c r="BW100" s="9"/>
    </row>
    <row r="101" spans="4:75" hidden="1" x14ac:dyDescent="0.2">
      <c r="D101" s="9"/>
      <c r="E101" s="156"/>
      <c r="G101" s="373"/>
      <c r="H101" s="373"/>
      <c r="I101" s="373"/>
      <c r="J101" s="374"/>
      <c r="K101" s="373"/>
      <c r="L101" s="373"/>
      <c r="M101" s="373"/>
      <c r="N101" s="373"/>
      <c r="O101" s="374"/>
      <c r="P101" s="373"/>
      <c r="Q101" s="373"/>
      <c r="R101" s="373"/>
      <c r="S101" s="373"/>
      <c r="T101" s="374"/>
      <c r="U101" s="373"/>
      <c r="V101" s="373"/>
      <c r="W101" s="373"/>
      <c r="X101" s="373"/>
      <c r="Y101" s="374"/>
      <c r="Z101" s="373"/>
      <c r="AA101" s="373"/>
      <c r="AB101" s="373"/>
      <c r="AC101" s="373"/>
      <c r="AD101" s="374"/>
      <c r="AE101" s="373"/>
      <c r="AF101" s="373"/>
      <c r="AG101" s="373"/>
      <c r="AH101" s="373"/>
      <c r="AI101" s="374"/>
      <c r="AJ101" s="373"/>
      <c r="AK101" s="373"/>
      <c r="AL101" s="373"/>
      <c r="AM101" s="373"/>
      <c r="AN101" s="374"/>
      <c r="AO101" s="373"/>
      <c r="AP101" s="373"/>
      <c r="AQ101" s="373"/>
      <c r="AR101" s="373"/>
      <c r="AS101" s="374"/>
      <c r="AT101" s="373"/>
      <c r="AU101" s="373"/>
      <c r="AV101" s="373"/>
      <c r="AW101" s="373"/>
      <c r="AX101" s="374"/>
      <c r="AY101" s="373"/>
      <c r="AZ101" s="373"/>
      <c r="BA101" s="373"/>
      <c r="BB101" s="373"/>
      <c r="BC101" s="374"/>
      <c r="BD101" s="373"/>
      <c r="BE101" s="373"/>
      <c r="BF101" s="373"/>
      <c r="BG101" s="373"/>
      <c r="BH101" s="374"/>
      <c r="BI101" s="373"/>
      <c r="BJ101" s="373"/>
      <c r="BK101" s="373"/>
      <c r="BL101" s="373"/>
      <c r="BM101" s="374"/>
      <c r="BN101" s="373"/>
      <c r="BO101" s="373"/>
      <c r="BP101" s="373"/>
      <c r="BQ101" s="373"/>
      <c r="BR101" s="374"/>
      <c r="BS101" s="373"/>
      <c r="BT101" s="373"/>
      <c r="BU101" s="373"/>
      <c r="BV101" s="373"/>
      <c r="BW101" s="9"/>
    </row>
    <row r="102" spans="4:75" x14ac:dyDescent="0.2">
      <c r="D102" s="79" t="s">
        <v>461</v>
      </c>
      <c r="E102" s="156"/>
      <c r="G102" s="308">
        <f>SUM(G103:G105)</f>
        <v>14417000</v>
      </c>
      <c r="J102" s="156"/>
      <c r="L102" s="10">
        <f>SUM(L103:L105)</f>
        <v>777665</v>
      </c>
      <c r="O102" s="156"/>
      <c r="Q102" s="10">
        <f>SUM(Q103:Q105)</f>
        <v>4931986</v>
      </c>
      <c r="T102" s="156"/>
      <c r="V102" s="10">
        <f>SUM(V103:V105)</f>
        <v>8699700</v>
      </c>
      <c r="Y102" s="156"/>
      <c r="AA102" s="10">
        <f>SUM(AA103:AA105)</f>
        <v>0</v>
      </c>
      <c r="AD102" s="156"/>
      <c r="AF102" s="10">
        <f>SUM(AF103:AF105)</f>
        <v>0</v>
      </c>
      <c r="AI102" s="156"/>
      <c r="AK102" s="10">
        <f>SUM(AK103:AK105)</f>
        <v>0</v>
      </c>
      <c r="AN102" s="156"/>
      <c r="AP102" s="10">
        <f>SUM(AP103:AP105)</f>
        <v>0</v>
      </c>
      <c r="AS102" s="156"/>
      <c r="AU102" s="10">
        <f>SUM(AU103:AU105)</f>
        <v>6967</v>
      </c>
      <c r="AX102" s="156"/>
      <c r="AZ102" s="10">
        <f>SUM(AZ103:AZ105)</f>
        <v>0</v>
      </c>
      <c r="BC102" s="156"/>
      <c r="BE102" s="10">
        <f>SUM(BE103:BE105)</f>
        <v>0</v>
      </c>
      <c r="BH102" s="156"/>
      <c r="BJ102" s="10">
        <f>SUM(BJ103:BJ105)</f>
        <v>0</v>
      </c>
      <c r="BM102" s="156"/>
      <c r="BO102" s="10">
        <f>SUM(BO103:BO105)</f>
        <v>0</v>
      </c>
      <c r="BR102" s="156"/>
      <c r="BT102" s="10">
        <f>SUM(BT103:BT105)</f>
        <v>14416318</v>
      </c>
      <c r="BW102" s="9"/>
    </row>
    <row r="103" spans="4:75" x14ac:dyDescent="0.2">
      <c r="D103" s="148" t="s">
        <v>462</v>
      </c>
      <c r="E103" s="156"/>
      <c r="F103" s="309"/>
      <c r="G103" s="313">
        <f>G107</f>
        <v>14417000</v>
      </c>
      <c r="H103" s="310"/>
      <c r="J103" s="156"/>
      <c r="K103" s="309"/>
      <c r="L103" s="86">
        <f>L107</f>
        <v>777665</v>
      </c>
      <c r="M103" s="310"/>
      <c r="O103" s="156"/>
      <c r="P103" s="309"/>
      <c r="Q103" s="86">
        <f>Q107</f>
        <v>4931986</v>
      </c>
      <c r="R103" s="310"/>
      <c r="T103" s="156"/>
      <c r="U103" s="309"/>
      <c r="V103" s="86">
        <f>V107</f>
        <v>8699700</v>
      </c>
      <c r="W103" s="310"/>
      <c r="Y103" s="156"/>
      <c r="Z103" s="309"/>
      <c r="AA103" s="86">
        <f>AA107</f>
        <v>0</v>
      </c>
      <c r="AB103" s="310"/>
      <c r="AD103" s="156"/>
      <c r="AE103" s="309"/>
      <c r="AF103" s="86">
        <f>AF107</f>
        <v>0</v>
      </c>
      <c r="AG103" s="310"/>
      <c r="AI103" s="156"/>
      <c r="AJ103" s="309"/>
      <c r="AK103" s="86">
        <f>AK107</f>
        <v>0</v>
      </c>
      <c r="AL103" s="310"/>
      <c r="AN103" s="156"/>
      <c r="AO103" s="309"/>
      <c r="AP103" s="86">
        <f>AP107</f>
        <v>0</v>
      </c>
      <c r="AQ103" s="310"/>
      <c r="AS103" s="156"/>
      <c r="AT103" s="309"/>
      <c r="AU103" s="313">
        <f>AU107</f>
        <v>6967</v>
      </c>
      <c r="AV103" s="310"/>
      <c r="AX103" s="156"/>
      <c r="AY103" s="309"/>
      <c r="AZ103" s="313">
        <f>AZ107</f>
        <v>0</v>
      </c>
      <c r="BA103" s="310"/>
      <c r="BC103" s="156"/>
      <c r="BD103" s="309"/>
      <c r="BE103" s="313">
        <f>BE107</f>
        <v>0</v>
      </c>
      <c r="BF103" s="310"/>
      <c r="BH103" s="156"/>
      <c r="BI103" s="309"/>
      <c r="BJ103" s="313">
        <f>BJ107</f>
        <v>0</v>
      </c>
      <c r="BK103" s="310"/>
      <c r="BM103" s="156"/>
      <c r="BN103" s="309"/>
      <c r="BO103" s="313">
        <f>BO107</f>
        <v>0</v>
      </c>
      <c r="BP103" s="310"/>
      <c r="BR103" s="156"/>
      <c r="BS103" s="309"/>
      <c r="BT103" s="86">
        <f>BT107</f>
        <v>14416318</v>
      </c>
      <c r="BU103" s="310"/>
      <c r="BW103" s="9"/>
    </row>
    <row r="104" spans="4:75" x14ac:dyDescent="0.2">
      <c r="D104" s="148" t="s">
        <v>463</v>
      </c>
      <c r="E104" s="156"/>
      <c r="F104" s="156"/>
      <c r="G104" s="318">
        <f>G155</f>
        <v>0</v>
      </c>
      <c r="H104" s="150"/>
      <c r="J104" s="156"/>
      <c r="K104" s="156"/>
      <c r="L104" s="1">
        <f>L155</f>
        <v>0</v>
      </c>
      <c r="M104" s="150"/>
      <c r="O104" s="156"/>
      <c r="P104" s="156"/>
      <c r="Q104" s="1">
        <f>Q155</f>
        <v>0</v>
      </c>
      <c r="R104" s="150"/>
      <c r="T104" s="156"/>
      <c r="U104" s="156"/>
      <c r="V104" s="1">
        <f>V155</f>
        <v>0</v>
      </c>
      <c r="W104" s="150"/>
      <c r="Y104" s="156"/>
      <c r="Z104" s="156"/>
      <c r="AA104" s="1">
        <f>AA155</f>
        <v>0</v>
      </c>
      <c r="AB104" s="150"/>
      <c r="AD104" s="156"/>
      <c r="AE104" s="156"/>
      <c r="AF104" s="1">
        <f>AF155</f>
        <v>0</v>
      </c>
      <c r="AG104" s="150"/>
      <c r="AI104" s="156"/>
      <c r="AJ104" s="156"/>
      <c r="AK104" s="1">
        <f>AK155</f>
        <v>0</v>
      </c>
      <c r="AL104" s="150"/>
      <c r="AN104" s="156"/>
      <c r="AO104" s="156"/>
      <c r="AP104" s="1">
        <f>AP155</f>
        <v>0</v>
      </c>
      <c r="AQ104" s="150"/>
      <c r="AS104" s="156"/>
      <c r="AT104" s="156"/>
      <c r="AU104" s="318">
        <f>AU155</f>
        <v>0</v>
      </c>
      <c r="AV104" s="150"/>
      <c r="AX104" s="156"/>
      <c r="AY104" s="156"/>
      <c r="AZ104" s="318">
        <f>AZ155</f>
        <v>0</v>
      </c>
      <c r="BA104" s="150"/>
      <c r="BC104" s="156"/>
      <c r="BD104" s="156"/>
      <c r="BE104" s="318">
        <f>BE155</f>
        <v>0</v>
      </c>
      <c r="BF104" s="150"/>
      <c r="BH104" s="156"/>
      <c r="BI104" s="156"/>
      <c r="BJ104" s="318">
        <f>BJ155</f>
        <v>0</v>
      </c>
      <c r="BK104" s="150"/>
      <c r="BM104" s="156"/>
      <c r="BN104" s="156"/>
      <c r="BO104" s="318">
        <f>BO155</f>
        <v>0</v>
      </c>
      <c r="BP104" s="150"/>
      <c r="BR104" s="156"/>
      <c r="BS104" s="156"/>
      <c r="BT104" s="1">
        <f>BT155</f>
        <v>0</v>
      </c>
      <c r="BU104" s="150"/>
      <c r="BW104" s="9"/>
    </row>
    <row r="105" spans="4:75" x14ac:dyDescent="0.2">
      <c r="D105" s="148" t="s">
        <v>464</v>
      </c>
      <c r="E105" s="156"/>
      <c r="F105" s="320"/>
      <c r="G105" s="321">
        <f>G167</f>
        <v>0</v>
      </c>
      <c r="H105" s="162"/>
      <c r="J105" s="156"/>
      <c r="K105" s="320"/>
      <c r="L105" s="158">
        <f>L167</f>
        <v>0</v>
      </c>
      <c r="M105" s="162"/>
      <c r="O105" s="156"/>
      <c r="P105" s="320"/>
      <c r="Q105" s="158">
        <f>Q167</f>
        <v>0</v>
      </c>
      <c r="R105" s="162"/>
      <c r="T105" s="156"/>
      <c r="U105" s="320"/>
      <c r="V105" s="158">
        <f>V167</f>
        <v>0</v>
      </c>
      <c r="W105" s="162"/>
      <c r="Y105" s="156"/>
      <c r="Z105" s="320"/>
      <c r="AA105" s="158">
        <f>AA167</f>
        <v>0</v>
      </c>
      <c r="AB105" s="162"/>
      <c r="AD105" s="156"/>
      <c r="AE105" s="320"/>
      <c r="AF105" s="158">
        <f>AF167</f>
        <v>0</v>
      </c>
      <c r="AG105" s="162"/>
      <c r="AI105" s="156"/>
      <c r="AJ105" s="320"/>
      <c r="AK105" s="158">
        <f>AK167</f>
        <v>0</v>
      </c>
      <c r="AL105" s="162"/>
      <c r="AN105" s="156"/>
      <c r="AO105" s="320"/>
      <c r="AP105" s="158">
        <f>AP167</f>
        <v>0</v>
      </c>
      <c r="AQ105" s="162"/>
      <c r="AS105" s="156"/>
      <c r="AT105" s="320"/>
      <c r="AU105" s="321">
        <f>AU167</f>
        <v>0</v>
      </c>
      <c r="AV105" s="162"/>
      <c r="AX105" s="156"/>
      <c r="AY105" s="320"/>
      <c r="AZ105" s="321">
        <f>AZ167</f>
        <v>0</v>
      </c>
      <c r="BA105" s="162"/>
      <c r="BC105" s="156"/>
      <c r="BD105" s="320"/>
      <c r="BE105" s="321">
        <f>BE167</f>
        <v>0</v>
      </c>
      <c r="BF105" s="162"/>
      <c r="BH105" s="156"/>
      <c r="BI105" s="320"/>
      <c r="BJ105" s="321">
        <f>BJ167</f>
        <v>0</v>
      </c>
      <c r="BK105" s="162"/>
      <c r="BM105" s="156"/>
      <c r="BN105" s="320"/>
      <c r="BO105" s="321">
        <f>BO167</f>
        <v>0</v>
      </c>
      <c r="BP105" s="162"/>
      <c r="BR105" s="156"/>
      <c r="BS105" s="320"/>
      <c r="BT105" s="158">
        <f>BT167</f>
        <v>0</v>
      </c>
      <c r="BU105" s="162"/>
      <c r="BW105" s="9"/>
    </row>
    <row r="106" spans="4:75" x14ac:dyDescent="0.2">
      <c r="D106" s="9"/>
      <c r="E106" s="156"/>
      <c r="G106" s="318"/>
      <c r="J106" s="156"/>
      <c r="O106" s="156"/>
      <c r="T106" s="156"/>
      <c r="Y106" s="156"/>
      <c r="AD106" s="156"/>
      <c r="AI106" s="156"/>
      <c r="AN106" s="156"/>
      <c r="AS106" s="156"/>
      <c r="AX106" s="156"/>
      <c r="BC106" s="156"/>
      <c r="BH106" s="156"/>
      <c r="BM106" s="156"/>
      <c r="BR106" s="156"/>
      <c r="BW106" s="9"/>
    </row>
    <row r="107" spans="4:75" x14ac:dyDescent="0.2">
      <c r="D107" s="9" t="s">
        <v>465</v>
      </c>
      <c r="E107" s="156"/>
      <c r="G107" s="373">
        <f>SUM(G108:G109)</f>
        <v>14417000</v>
      </c>
      <c r="H107" s="373"/>
      <c r="I107" s="373"/>
      <c r="J107" s="374"/>
      <c r="K107" s="373"/>
      <c r="L107" s="373">
        <f>SUM(L108:L109)</f>
        <v>777665</v>
      </c>
      <c r="M107" s="373"/>
      <c r="N107" s="373"/>
      <c r="O107" s="374"/>
      <c r="P107" s="373"/>
      <c r="Q107" s="373">
        <f>SUM(Q108:Q109)</f>
        <v>4931986</v>
      </c>
      <c r="R107" s="373"/>
      <c r="S107" s="373"/>
      <c r="T107" s="374"/>
      <c r="U107" s="373"/>
      <c r="V107" s="373">
        <f>SUM(V108:V109)</f>
        <v>8699700</v>
      </c>
      <c r="W107" s="373"/>
      <c r="X107" s="373"/>
      <c r="Y107" s="374"/>
      <c r="Z107" s="373"/>
      <c r="AA107" s="373">
        <f>SUM(AA108:AA109)</f>
        <v>0</v>
      </c>
      <c r="AB107" s="373"/>
      <c r="AC107" s="373"/>
      <c r="AD107" s="374"/>
      <c r="AE107" s="373"/>
      <c r="AF107" s="373">
        <f>SUM(AF108:AF109)</f>
        <v>0</v>
      </c>
      <c r="AG107" s="373"/>
      <c r="AH107" s="373"/>
      <c r="AI107" s="374"/>
      <c r="AJ107" s="373"/>
      <c r="AK107" s="373">
        <f>SUM(AK108:AK109)</f>
        <v>0</v>
      </c>
      <c r="AL107" s="373"/>
      <c r="AM107" s="373"/>
      <c r="AN107" s="374"/>
      <c r="AO107" s="373"/>
      <c r="AP107" s="373">
        <f>SUM(AP108:AP109)</f>
        <v>0</v>
      </c>
      <c r="AQ107" s="373"/>
      <c r="AR107" s="373"/>
      <c r="AS107" s="374"/>
      <c r="AT107" s="373"/>
      <c r="AU107" s="373">
        <f>SUM(AU108:AU109)</f>
        <v>6967</v>
      </c>
      <c r="AV107" s="373"/>
      <c r="AW107" s="373"/>
      <c r="AX107" s="374"/>
      <c r="AY107" s="373"/>
      <c r="AZ107" s="373">
        <f>SUM(AZ108:AZ109)</f>
        <v>0</v>
      </c>
      <c r="BA107" s="373"/>
      <c r="BB107" s="373"/>
      <c r="BC107" s="374"/>
      <c r="BD107" s="373"/>
      <c r="BE107" s="373">
        <f>SUM(BE108:BE109)</f>
        <v>0</v>
      </c>
      <c r="BF107" s="373"/>
      <c r="BG107" s="373"/>
      <c r="BH107" s="374"/>
      <c r="BI107" s="373"/>
      <c r="BJ107" s="373">
        <f>SUM(BJ108:BJ109)</f>
        <v>0</v>
      </c>
      <c r="BK107" s="373"/>
      <c r="BL107" s="373"/>
      <c r="BM107" s="374"/>
      <c r="BN107" s="373"/>
      <c r="BO107" s="373">
        <f>SUM(BO108:BO109)</f>
        <v>0</v>
      </c>
      <c r="BP107" s="373"/>
      <c r="BQ107" s="373"/>
      <c r="BR107" s="374"/>
      <c r="BS107" s="373"/>
      <c r="BT107" s="373">
        <f>SUM(BT108:BT109)</f>
        <v>14416318</v>
      </c>
      <c r="BU107" s="373"/>
      <c r="BV107" s="373"/>
      <c r="BW107" s="9"/>
    </row>
    <row r="108" spans="4:75" x14ac:dyDescent="0.2">
      <c r="D108" s="9" t="s">
        <v>466</v>
      </c>
      <c r="E108" s="156"/>
      <c r="F108" s="309"/>
      <c r="G108" s="371">
        <f>+G112+G120+G124+G128+G132+G136+G116+G140+G148+G152+G144</f>
        <v>7961000</v>
      </c>
      <c r="H108" s="372"/>
      <c r="I108" s="373"/>
      <c r="J108" s="374"/>
      <c r="K108" s="375"/>
      <c r="L108" s="371">
        <f>+L112+L120+L124+L128+L132+L136+L116+L140+L148+L152+L144</f>
        <v>391647</v>
      </c>
      <c r="M108" s="372"/>
      <c r="N108" s="373"/>
      <c r="O108" s="374"/>
      <c r="P108" s="375"/>
      <c r="Q108" s="371">
        <f>+Q112+Q120+Q124+Q128+Q132+Q136+Q116+Q140+Q148+Q152+Q144</f>
        <v>1962723</v>
      </c>
      <c r="R108" s="372"/>
      <c r="S108" s="373"/>
      <c r="T108" s="374"/>
      <c r="U108" s="375"/>
      <c r="V108" s="371">
        <f>+V112+V120+V124+V128+V132+V136+V116+V140+V148+V152+V144</f>
        <v>5604275</v>
      </c>
      <c r="W108" s="372"/>
      <c r="X108" s="373"/>
      <c r="Y108" s="374"/>
      <c r="Z108" s="375"/>
      <c r="AA108" s="371">
        <f>+AA112+AA120+AA124+AA128+AA132+AA136+AA116+AA140+AA148+AA152+AA144</f>
        <v>0</v>
      </c>
      <c r="AB108" s="372"/>
      <c r="AC108" s="373"/>
      <c r="AD108" s="374"/>
      <c r="AE108" s="375"/>
      <c r="AF108" s="371">
        <f>+AF112+AF120+AF124+AF128+AF132+AF136+AF116+AF140+AF148+AF152+AF144</f>
        <v>0</v>
      </c>
      <c r="AG108" s="372"/>
      <c r="AH108" s="373"/>
      <c r="AI108" s="374"/>
      <c r="AJ108" s="375"/>
      <c r="AK108" s="371">
        <f>+AK112+AK120+AK124+AK128+AK132+AK136+AK116+AK140+AK148+AK152+AK144</f>
        <v>0</v>
      </c>
      <c r="AL108" s="372"/>
      <c r="AM108" s="373"/>
      <c r="AN108" s="374"/>
      <c r="AO108" s="375"/>
      <c r="AP108" s="371">
        <f>+AP112+AP120+AP124+AP128+AP132+AP136+AP116+AP140+AP148+AP152+AP144</f>
        <v>0</v>
      </c>
      <c r="AQ108" s="372"/>
      <c r="AR108" s="373"/>
      <c r="AS108" s="374"/>
      <c r="AT108" s="375"/>
      <c r="AU108" s="371">
        <f>+AU112+AU120+AU124+AU128+AU132+AU136+AU116+AU140+AU148+AU152+AU144</f>
        <v>1940</v>
      </c>
      <c r="AV108" s="372"/>
      <c r="AW108" s="373"/>
      <c r="AX108" s="374"/>
      <c r="AY108" s="375"/>
      <c r="AZ108" s="371">
        <f>+AZ112+AZ120+AZ124+AZ128+AZ132+AZ136+AZ116+AZ140+AZ148+AZ152+AZ144</f>
        <v>0</v>
      </c>
      <c r="BA108" s="372"/>
      <c r="BB108" s="373"/>
      <c r="BC108" s="374"/>
      <c r="BD108" s="375"/>
      <c r="BE108" s="371">
        <f>+BE112+BE120+BE124+BE128+BE132+BE136+BE116+BE140+BE148+BE152+BE144</f>
        <v>0</v>
      </c>
      <c r="BF108" s="372"/>
      <c r="BG108" s="373"/>
      <c r="BH108" s="374"/>
      <c r="BI108" s="375"/>
      <c r="BJ108" s="371">
        <f>+BJ112+BJ120+BJ124+BJ128+BJ132+BJ136+BJ116+BJ140+BJ148+BJ152+BJ144</f>
        <v>0</v>
      </c>
      <c r="BK108" s="372"/>
      <c r="BL108" s="373"/>
      <c r="BM108" s="374"/>
      <c r="BN108" s="375"/>
      <c r="BO108" s="371">
        <v>0</v>
      </c>
      <c r="BP108" s="372"/>
      <c r="BQ108" s="373"/>
      <c r="BR108" s="374"/>
      <c r="BS108" s="375"/>
      <c r="BT108" s="371">
        <f>+BT112+BT120+BT124+BT128+BT132+BT136+BT116+BT140+BT148+BT152+BT144</f>
        <v>7960585</v>
      </c>
      <c r="BU108" s="372"/>
      <c r="BV108" s="373"/>
      <c r="BW108" s="9"/>
    </row>
    <row r="109" spans="4:75" x14ac:dyDescent="0.2">
      <c r="D109" s="9" t="s">
        <v>467</v>
      </c>
      <c r="E109" s="156"/>
      <c r="F109" s="320"/>
      <c r="G109" s="385">
        <f>+G113+G121+G125+G129+G133+G137+G117+G141+G149+G153+G145</f>
        <v>6456000</v>
      </c>
      <c r="H109" s="386"/>
      <c r="I109" s="373"/>
      <c r="J109" s="374"/>
      <c r="K109" s="387"/>
      <c r="L109" s="385">
        <f>+L113+L121+L125+L129+L133+L137+L117+L141+L149+L153+L145</f>
        <v>386018</v>
      </c>
      <c r="M109" s="386"/>
      <c r="N109" s="373"/>
      <c r="O109" s="374"/>
      <c r="P109" s="387"/>
      <c r="Q109" s="385">
        <f>+Q113+Q121+Q125+Q129+Q133+Q137+Q117+Q141+Q149+Q153+Q145</f>
        <v>2969263</v>
      </c>
      <c r="R109" s="386"/>
      <c r="S109" s="373"/>
      <c r="T109" s="374"/>
      <c r="U109" s="387"/>
      <c r="V109" s="385">
        <f>+V113+V121+V125+V129+V133+V137+V117+V141+V149+V153+V145</f>
        <v>3095425</v>
      </c>
      <c r="W109" s="386"/>
      <c r="X109" s="373"/>
      <c r="Y109" s="374"/>
      <c r="Z109" s="387"/>
      <c r="AA109" s="385">
        <f>+AA113+AA121+AA125+AA129+AA133+AA137+AA117+AA141+AA149+AA153+AA145</f>
        <v>0</v>
      </c>
      <c r="AB109" s="386"/>
      <c r="AC109" s="373"/>
      <c r="AD109" s="374"/>
      <c r="AE109" s="387"/>
      <c r="AF109" s="385">
        <f>+AF113+AF121+AF125+AF129+AF133+AF137+AF117+AF141+AF149+AF153+AF145</f>
        <v>0</v>
      </c>
      <c r="AG109" s="386"/>
      <c r="AH109" s="373"/>
      <c r="AI109" s="374"/>
      <c r="AJ109" s="387"/>
      <c r="AK109" s="385">
        <f>+AK113+AK121+AK125+AK129+AK133+AK137+AK117+AK141+AK149+AK153+AK145</f>
        <v>0</v>
      </c>
      <c r="AL109" s="386"/>
      <c r="AM109" s="373"/>
      <c r="AN109" s="374"/>
      <c r="AO109" s="387"/>
      <c r="AP109" s="385">
        <f>+AP113+AP121+AP125+AP129+AP133+AP137+AP117+AP141+AP149+AP153+AP145</f>
        <v>0</v>
      </c>
      <c r="AQ109" s="386"/>
      <c r="AR109" s="373"/>
      <c r="AS109" s="374"/>
      <c r="AT109" s="387"/>
      <c r="AU109" s="385">
        <f>+AU113+AU121+AU125+AU129+AU133+AU137+AU117+AU141+AU149+AU153+AU145</f>
        <v>5027</v>
      </c>
      <c r="AV109" s="386"/>
      <c r="AW109" s="373"/>
      <c r="AX109" s="374"/>
      <c r="AY109" s="387"/>
      <c r="AZ109" s="385">
        <f>+AZ113+AZ121+AZ125+AZ129+AZ133+AZ137+AZ117+AZ141+AZ149+AZ153+AZ145</f>
        <v>0</v>
      </c>
      <c r="BA109" s="386"/>
      <c r="BB109" s="373"/>
      <c r="BC109" s="374"/>
      <c r="BD109" s="387"/>
      <c r="BE109" s="385">
        <f>+BE113+BE121+BE125+BE129+BE133+BE137+BE117+BE141+BE149+BE153+BE145</f>
        <v>0</v>
      </c>
      <c r="BF109" s="386"/>
      <c r="BG109" s="373"/>
      <c r="BH109" s="374"/>
      <c r="BI109" s="387"/>
      <c r="BJ109" s="385">
        <f>+BJ113+BJ121+BJ125+BJ129+BJ133+BJ137+BJ117+BJ141+BJ149+BJ153+BJ145</f>
        <v>0</v>
      </c>
      <c r="BK109" s="386"/>
      <c r="BL109" s="373"/>
      <c r="BM109" s="374"/>
      <c r="BN109" s="387"/>
      <c r="BO109" s="385">
        <v>0</v>
      </c>
      <c r="BP109" s="386"/>
      <c r="BQ109" s="373"/>
      <c r="BR109" s="374"/>
      <c r="BS109" s="387"/>
      <c r="BT109" s="385">
        <f>+BT113+BT121+BT125+BT129+BT133+BT137+BT117+BT141+BT149+BT153+BT145</f>
        <v>6455733</v>
      </c>
      <c r="BU109" s="386"/>
      <c r="BV109" s="373"/>
      <c r="BW109" s="9"/>
    </row>
    <row r="110" spans="4:75" hidden="1" x14ac:dyDescent="0.2">
      <c r="D110" s="9"/>
      <c r="E110" s="156"/>
      <c r="G110" s="373"/>
      <c r="H110" s="373"/>
      <c r="I110" s="373"/>
      <c r="J110" s="374"/>
      <c r="K110" s="373"/>
      <c r="L110" s="373"/>
      <c r="M110" s="373"/>
      <c r="N110" s="373"/>
      <c r="O110" s="374"/>
      <c r="P110" s="373"/>
      <c r="Q110" s="373"/>
      <c r="R110" s="373"/>
      <c r="S110" s="373"/>
      <c r="T110" s="374"/>
      <c r="U110" s="373"/>
      <c r="V110" s="373"/>
      <c r="W110" s="373"/>
      <c r="X110" s="373"/>
      <c r="Y110" s="374"/>
      <c r="Z110" s="373"/>
      <c r="AA110" s="373"/>
      <c r="AB110" s="373"/>
      <c r="AC110" s="373"/>
      <c r="AD110" s="374"/>
      <c r="AE110" s="373"/>
      <c r="AF110" s="373"/>
      <c r="AG110" s="373"/>
      <c r="AH110" s="373"/>
      <c r="AI110" s="374"/>
      <c r="AJ110" s="373"/>
      <c r="AK110" s="373"/>
      <c r="AL110" s="373"/>
      <c r="AM110" s="373"/>
      <c r="AN110" s="374"/>
      <c r="AO110" s="373"/>
      <c r="AP110" s="373"/>
      <c r="AQ110" s="373"/>
      <c r="AR110" s="373"/>
      <c r="AS110" s="374"/>
      <c r="AT110" s="373"/>
      <c r="AU110" s="373"/>
      <c r="AV110" s="373"/>
      <c r="AW110" s="373"/>
      <c r="AX110" s="374"/>
      <c r="AY110" s="373"/>
      <c r="AZ110" s="373"/>
      <c r="BA110" s="373"/>
      <c r="BB110" s="373"/>
      <c r="BC110" s="374"/>
      <c r="BD110" s="373"/>
      <c r="BE110" s="373"/>
      <c r="BF110" s="373"/>
      <c r="BG110" s="373"/>
      <c r="BH110" s="374"/>
      <c r="BI110" s="373"/>
      <c r="BJ110" s="373"/>
      <c r="BK110" s="373"/>
      <c r="BL110" s="373"/>
      <c r="BM110" s="374"/>
      <c r="BN110" s="373"/>
      <c r="BO110" s="373"/>
      <c r="BP110" s="373"/>
      <c r="BQ110" s="373"/>
      <c r="BR110" s="374"/>
      <c r="BS110" s="373"/>
      <c r="BT110" s="373"/>
      <c r="BU110" s="373"/>
      <c r="BV110" s="373"/>
      <c r="BW110" s="9"/>
    </row>
    <row r="111" spans="4:75" hidden="1" x14ac:dyDescent="0.2">
      <c r="D111" s="9" t="s">
        <v>468</v>
      </c>
      <c r="E111" s="156"/>
      <c r="G111" s="373">
        <f>SUM(G112:G113)</f>
        <v>8000</v>
      </c>
      <c r="H111" s="373"/>
      <c r="I111" s="373"/>
      <c r="J111" s="374"/>
      <c r="K111" s="373"/>
      <c r="L111" s="373">
        <f>SUM(L112:L113)</f>
        <v>0</v>
      </c>
      <c r="M111" s="373"/>
      <c r="N111" s="373"/>
      <c r="O111" s="374"/>
      <c r="P111" s="373"/>
      <c r="Q111" s="373">
        <f>SUM(Q112:Q113)</f>
        <v>0</v>
      </c>
      <c r="R111" s="373"/>
      <c r="S111" s="373"/>
      <c r="T111" s="374"/>
      <c r="U111" s="373"/>
      <c r="V111" s="373">
        <f>SUM(V112:V113)</f>
        <v>0</v>
      </c>
      <c r="W111" s="373"/>
      <c r="X111" s="373"/>
      <c r="Y111" s="374"/>
      <c r="Z111" s="373"/>
      <c r="AA111" s="373">
        <f>SUM(AA112:AA113)</f>
        <v>0</v>
      </c>
      <c r="AB111" s="373"/>
      <c r="AC111" s="373"/>
      <c r="AD111" s="374"/>
      <c r="AE111" s="373"/>
      <c r="AF111" s="373">
        <f>SUM(AF112:AF113)</f>
        <v>0</v>
      </c>
      <c r="AG111" s="373"/>
      <c r="AH111" s="373"/>
      <c r="AI111" s="374"/>
      <c r="AJ111" s="373"/>
      <c r="AK111" s="373">
        <f>SUM(AK112:AK113)</f>
        <v>0</v>
      </c>
      <c r="AL111" s="373"/>
      <c r="AM111" s="373"/>
      <c r="AN111" s="374"/>
      <c r="AO111" s="373"/>
      <c r="AP111" s="373">
        <f>SUM(AP112:AP113)</f>
        <v>0</v>
      </c>
      <c r="AQ111" s="373"/>
      <c r="AR111" s="373"/>
      <c r="AS111" s="374"/>
      <c r="AT111" s="373"/>
      <c r="AU111" s="373">
        <f>SUM(AU112:AU113)</f>
        <v>0</v>
      </c>
      <c r="AV111" s="373"/>
      <c r="AW111" s="373"/>
      <c r="AX111" s="374"/>
      <c r="AY111" s="373"/>
      <c r="AZ111" s="373">
        <f>SUM(AZ112:AZ113)</f>
        <v>0</v>
      </c>
      <c r="BA111" s="373"/>
      <c r="BB111" s="373"/>
      <c r="BC111" s="374"/>
      <c r="BD111" s="373"/>
      <c r="BE111" s="373">
        <f>SUM(BE112:BE113)</f>
        <v>0</v>
      </c>
      <c r="BF111" s="373"/>
      <c r="BG111" s="373"/>
      <c r="BH111" s="374"/>
      <c r="BI111" s="373"/>
      <c r="BJ111" s="373">
        <f>SUM(BJ112:BJ113)</f>
        <v>0</v>
      </c>
      <c r="BK111" s="373"/>
      <c r="BL111" s="373"/>
      <c r="BM111" s="374"/>
      <c r="BN111" s="373"/>
      <c r="BO111" s="373">
        <f>SUM(BO112:BO113)</f>
        <v>0</v>
      </c>
      <c r="BP111" s="373"/>
      <c r="BQ111" s="373"/>
      <c r="BR111" s="374"/>
      <c r="BS111" s="373"/>
      <c r="BT111" s="373">
        <f>SUM(BT112:BT113)</f>
        <v>0</v>
      </c>
      <c r="BU111" s="373"/>
      <c r="BV111" s="373"/>
      <c r="BW111" s="9"/>
    </row>
    <row r="112" spans="4:75" hidden="1" x14ac:dyDescent="0.2">
      <c r="D112" s="9" t="s">
        <v>466</v>
      </c>
      <c r="E112" s="156"/>
      <c r="F112" s="309"/>
      <c r="G112" s="371">
        <v>2000</v>
      </c>
      <c r="H112" s="372"/>
      <c r="I112" s="373"/>
      <c r="J112" s="374"/>
      <c r="K112" s="375"/>
      <c r="L112" s="371">
        <v>0</v>
      </c>
      <c r="M112" s="372"/>
      <c r="N112" s="373"/>
      <c r="O112" s="374"/>
      <c r="P112" s="375"/>
      <c r="Q112" s="371">
        <v>0</v>
      </c>
      <c r="R112" s="372"/>
      <c r="S112" s="373"/>
      <c r="T112" s="374"/>
      <c r="U112" s="375"/>
      <c r="V112" s="371">
        <v>0</v>
      </c>
      <c r="W112" s="372"/>
      <c r="X112" s="373"/>
      <c r="Y112" s="374"/>
      <c r="Z112" s="375"/>
      <c r="AA112" s="371">
        <v>0</v>
      </c>
      <c r="AB112" s="372"/>
      <c r="AC112" s="373"/>
      <c r="AD112" s="374"/>
      <c r="AE112" s="375"/>
      <c r="AF112" s="371">
        <v>0</v>
      </c>
      <c r="AG112" s="372"/>
      <c r="AH112" s="373"/>
      <c r="AI112" s="374"/>
      <c r="AJ112" s="375"/>
      <c r="AK112" s="371">
        <v>0</v>
      </c>
      <c r="AL112" s="372"/>
      <c r="AM112" s="373"/>
      <c r="AN112" s="374"/>
      <c r="AO112" s="375"/>
      <c r="AP112" s="371">
        <v>0</v>
      </c>
      <c r="AQ112" s="372"/>
      <c r="AR112" s="373"/>
      <c r="AS112" s="374"/>
      <c r="AT112" s="375"/>
      <c r="AU112" s="371">
        <v>0</v>
      </c>
      <c r="AV112" s="372"/>
      <c r="AW112" s="373"/>
      <c r="AX112" s="374"/>
      <c r="AY112" s="375"/>
      <c r="AZ112" s="371">
        <v>0</v>
      </c>
      <c r="BA112" s="372"/>
      <c r="BB112" s="373"/>
      <c r="BC112" s="374"/>
      <c r="BD112" s="375"/>
      <c r="BE112" s="371">
        <v>0</v>
      </c>
      <c r="BF112" s="372"/>
      <c r="BG112" s="373"/>
      <c r="BH112" s="374"/>
      <c r="BI112" s="375"/>
      <c r="BJ112" s="371">
        <v>0</v>
      </c>
      <c r="BK112" s="372"/>
      <c r="BL112" s="373"/>
      <c r="BM112" s="374"/>
      <c r="BN112" s="375"/>
      <c r="BO112" s="371">
        <v>0</v>
      </c>
      <c r="BP112" s="372"/>
      <c r="BQ112" s="373"/>
      <c r="BR112" s="374"/>
      <c r="BS112" s="375"/>
      <c r="BT112" s="371">
        <f>SUM(L112:BO112)</f>
        <v>0</v>
      </c>
      <c r="BU112" s="372"/>
      <c r="BV112" s="373"/>
      <c r="BW112" s="9"/>
    </row>
    <row r="113" spans="4:75" hidden="1" x14ac:dyDescent="0.2">
      <c r="D113" s="9" t="s">
        <v>467</v>
      </c>
      <c r="E113" s="156"/>
      <c r="F113" s="320"/>
      <c r="G113" s="385">
        <v>6000</v>
      </c>
      <c r="H113" s="386"/>
      <c r="I113" s="373"/>
      <c r="J113" s="374"/>
      <c r="K113" s="387"/>
      <c r="L113" s="385">
        <v>0</v>
      </c>
      <c r="M113" s="386"/>
      <c r="N113" s="373"/>
      <c r="O113" s="374"/>
      <c r="P113" s="387"/>
      <c r="Q113" s="385">
        <v>0</v>
      </c>
      <c r="R113" s="386"/>
      <c r="S113" s="373"/>
      <c r="T113" s="374"/>
      <c r="U113" s="387"/>
      <c r="V113" s="385">
        <v>0</v>
      </c>
      <c r="W113" s="386"/>
      <c r="X113" s="373"/>
      <c r="Y113" s="374"/>
      <c r="Z113" s="387"/>
      <c r="AA113" s="385">
        <v>0</v>
      </c>
      <c r="AB113" s="386"/>
      <c r="AC113" s="373"/>
      <c r="AD113" s="374"/>
      <c r="AE113" s="387"/>
      <c r="AF113" s="385">
        <v>0</v>
      </c>
      <c r="AG113" s="386"/>
      <c r="AH113" s="373"/>
      <c r="AI113" s="374"/>
      <c r="AJ113" s="387"/>
      <c r="AK113" s="385">
        <v>0</v>
      </c>
      <c r="AL113" s="386"/>
      <c r="AM113" s="373"/>
      <c r="AN113" s="374"/>
      <c r="AO113" s="387"/>
      <c r="AP113" s="385">
        <v>0</v>
      </c>
      <c r="AQ113" s="386"/>
      <c r="AR113" s="373"/>
      <c r="AS113" s="374"/>
      <c r="AT113" s="387"/>
      <c r="AU113" s="385">
        <v>0</v>
      </c>
      <c r="AV113" s="386"/>
      <c r="AW113" s="373"/>
      <c r="AX113" s="374"/>
      <c r="AY113" s="387"/>
      <c r="AZ113" s="385">
        <v>0</v>
      </c>
      <c r="BA113" s="386"/>
      <c r="BB113" s="373"/>
      <c r="BC113" s="374"/>
      <c r="BD113" s="387"/>
      <c r="BE113" s="385">
        <v>0</v>
      </c>
      <c r="BF113" s="386"/>
      <c r="BG113" s="373"/>
      <c r="BH113" s="374"/>
      <c r="BI113" s="387"/>
      <c r="BJ113" s="385">
        <v>0</v>
      </c>
      <c r="BK113" s="386"/>
      <c r="BL113" s="373"/>
      <c r="BM113" s="374"/>
      <c r="BN113" s="387"/>
      <c r="BO113" s="385">
        <v>0</v>
      </c>
      <c r="BP113" s="386"/>
      <c r="BQ113" s="373"/>
      <c r="BR113" s="374"/>
      <c r="BS113" s="387"/>
      <c r="BT113" s="385">
        <f>SUM(L113:BO113)</f>
        <v>0</v>
      </c>
      <c r="BU113" s="386"/>
      <c r="BV113" s="373"/>
      <c r="BW113" s="9"/>
    </row>
    <row r="114" spans="4:75" hidden="1" x14ac:dyDescent="0.2">
      <c r="D114" s="9"/>
      <c r="E114" s="156"/>
      <c r="G114" s="373"/>
      <c r="H114" s="373"/>
      <c r="I114" s="373"/>
      <c r="J114" s="374"/>
      <c r="K114" s="373"/>
      <c r="L114" s="373"/>
      <c r="M114" s="373"/>
      <c r="N114" s="373"/>
      <c r="O114" s="374"/>
      <c r="P114" s="373"/>
      <c r="Q114" s="373"/>
      <c r="R114" s="373"/>
      <c r="S114" s="373"/>
      <c r="T114" s="374"/>
      <c r="U114" s="373"/>
      <c r="V114" s="373"/>
      <c r="W114" s="373"/>
      <c r="X114" s="373"/>
      <c r="Y114" s="374"/>
      <c r="Z114" s="373"/>
      <c r="AA114" s="373"/>
      <c r="AB114" s="373"/>
      <c r="AC114" s="373"/>
      <c r="AD114" s="374"/>
      <c r="AE114" s="373"/>
      <c r="AF114" s="373"/>
      <c r="AG114" s="373"/>
      <c r="AH114" s="373"/>
      <c r="AI114" s="374"/>
      <c r="AJ114" s="373"/>
      <c r="AK114" s="373"/>
      <c r="AL114" s="373"/>
      <c r="AM114" s="373"/>
      <c r="AN114" s="374"/>
      <c r="AO114" s="373"/>
      <c r="AP114" s="373"/>
      <c r="AQ114" s="373"/>
      <c r="AR114" s="373"/>
      <c r="AS114" s="374"/>
      <c r="AT114" s="373"/>
      <c r="AU114" s="373"/>
      <c r="AV114" s="373"/>
      <c r="AW114" s="373"/>
      <c r="AX114" s="374"/>
      <c r="AY114" s="373"/>
      <c r="AZ114" s="373"/>
      <c r="BA114" s="373"/>
      <c r="BB114" s="373"/>
      <c r="BC114" s="374"/>
      <c r="BD114" s="373"/>
      <c r="BE114" s="373"/>
      <c r="BF114" s="373"/>
      <c r="BG114" s="373"/>
      <c r="BH114" s="374"/>
      <c r="BI114" s="373"/>
      <c r="BJ114" s="373"/>
      <c r="BK114" s="373"/>
      <c r="BL114" s="373"/>
      <c r="BM114" s="374"/>
      <c r="BN114" s="373"/>
      <c r="BO114" s="373"/>
      <c r="BP114" s="373"/>
      <c r="BQ114" s="373"/>
      <c r="BR114" s="374"/>
      <c r="BS114" s="373"/>
      <c r="BT114" s="373"/>
      <c r="BU114" s="373"/>
      <c r="BV114" s="373"/>
      <c r="BW114" s="9"/>
    </row>
    <row r="115" spans="4:75" hidden="1" x14ac:dyDescent="0.2">
      <c r="D115" s="9" t="s">
        <v>469</v>
      </c>
      <c r="E115" s="156"/>
      <c r="G115" s="373">
        <f>SUM(G116:G117)</f>
        <v>0</v>
      </c>
      <c r="H115" s="373"/>
      <c r="I115" s="373"/>
      <c r="J115" s="374"/>
      <c r="K115" s="373"/>
      <c r="L115" s="373">
        <f>SUM(L116:L117)</f>
        <v>0</v>
      </c>
      <c r="M115" s="373"/>
      <c r="N115" s="373"/>
      <c r="O115" s="374"/>
      <c r="P115" s="373"/>
      <c r="Q115" s="373">
        <f>SUM(Q116:Q117)</f>
        <v>0</v>
      </c>
      <c r="R115" s="373"/>
      <c r="S115" s="373"/>
      <c r="T115" s="374"/>
      <c r="U115" s="373"/>
      <c r="V115" s="373">
        <f>SUM(V116:V117)</f>
        <v>0</v>
      </c>
      <c r="W115" s="373"/>
      <c r="X115" s="373"/>
      <c r="Y115" s="374"/>
      <c r="Z115" s="373"/>
      <c r="AA115" s="373">
        <f>SUM(AA116:AA117)</f>
        <v>0</v>
      </c>
      <c r="AB115" s="373"/>
      <c r="AC115" s="373"/>
      <c r="AD115" s="374"/>
      <c r="AE115" s="373"/>
      <c r="AF115" s="373">
        <f>SUM(AF116:AF117)</f>
        <v>0</v>
      </c>
      <c r="AG115" s="373"/>
      <c r="AH115" s="373"/>
      <c r="AI115" s="374"/>
      <c r="AJ115" s="373"/>
      <c r="AK115" s="373">
        <f>SUM(AK116:AK117)</f>
        <v>0</v>
      </c>
      <c r="AL115" s="373"/>
      <c r="AM115" s="373"/>
      <c r="AN115" s="374"/>
      <c r="AO115" s="373"/>
      <c r="AP115" s="373">
        <f>SUM(AP116:AP117)</f>
        <v>0</v>
      </c>
      <c r="AQ115" s="373"/>
      <c r="AR115" s="373"/>
      <c r="AS115" s="374"/>
      <c r="AT115" s="373"/>
      <c r="AU115" s="373">
        <f>SUM(AU116:AU117)</f>
        <v>0</v>
      </c>
      <c r="AV115" s="373"/>
      <c r="AW115" s="373"/>
      <c r="AX115" s="374"/>
      <c r="AY115" s="373"/>
      <c r="AZ115" s="373">
        <f>SUM(AZ116:AZ117)</f>
        <v>0</v>
      </c>
      <c r="BA115" s="373"/>
      <c r="BB115" s="373"/>
      <c r="BC115" s="374"/>
      <c r="BD115" s="373"/>
      <c r="BE115" s="373">
        <f>SUM(BE116:BE117)</f>
        <v>0</v>
      </c>
      <c r="BF115" s="373"/>
      <c r="BG115" s="373"/>
      <c r="BH115" s="374"/>
      <c r="BI115" s="373"/>
      <c r="BJ115" s="373">
        <f>SUM(BJ116:BJ117)</f>
        <v>0</v>
      </c>
      <c r="BK115" s="373"/>
      <c r="BL115" s="373"/>
      <c r="BM115" s="374"/>
      <c r="BN115" s="373"/>
      <c r="BO115" s="373">
        <f>SUM(BO116:BO117)</f>
        <v>0</v>
      </c>
      <c r="BP115" s="373"/>
      <c r="BQ115" s="373"/>
      <c r="BR115" s="374"/>
      <c r="BS115" s="373"/>
      <c r="BT115" s="373">
        <f>SUM(BT116:BT117)</f>
        <v>0</v>
      </c>
      <c r="BU115" s="373"/>
      <c r="BV115" s="373"/>
      <c r="BW115" s="9"/>
    </row>
    <row r="116" spans="4:75" hidden="1" x14ac:dyDescent="0.2">
      <c r="D116" s="9" t="s">
        <v>466</v>
      </c>
      <c r="E116" s="156"/>
      <c r="F116" s="309"/>
      <c r="G116" s="371">
        <v>0</v>
      </c>
      <c r="H116" s="372"/>
      <c r="I116" s="373"/>
      <c r="J116" s="374"/>
      <c r="K116" s="375"/>
      <c r="L116" s="371">
        <v>0</v>
      </c>
      <c r="M116" s="372"/>
      <c r="N116" s="373"/>
      <c r="O116" s="374"/>
      <c r="P116" s="375"/>
      <c r="Q116" s="371">
        <v>0</v>
      </c>
      <c r="R116" s="372"/>
      <c r="S116" s="373"/>
      <c r="T116" s="374"/>
      <c r="U116" s="375"/>
      <c r="V116" s="371">
        <v>0</v>
      </c>
      <c r="W116" s="372"/>
      <c r="X116" s="373"/>
      <c r="Y116" s="374"/>
      <c r="Z116" s="375"/>
      <c r="AA116" s="371">
        <v>0</v>
      </c>
      <c r="AB116" s="372"/>
      <c r="AC116" s="373"/>
      <c r="AD116" s="374"/>
      <c r="AE116" s="375"/>
      <c r="AF116" s="371">
        <v>0</v>
      </c>
      <c r="AG116" s="372"/>
      <c r="AH116" s="373"/>
      <c r="AI116" s="374"/>
      <c r="AJ116" s="375"/>
      <c r="AK116" s="371">
        <v>0</v>
      </c>
      <c r="AL116" s="372"/>
      <c r="AM116" s="373"/>
      <c r="AN116" s="374"/>
      <c r="AO116" s="375"/>
      <c r="AP116" s="371">
        <v>0</v>
      </c>
      <c r="AQ116" s="372"/>
      <c r="AR116" s="373"/>
      <c r="AS116" s="374"/>
      <c r="AT116" s="375"/>
      <c r="AU116" s="371">
        <v>0</v>
      </c>
      <c r="AV116" s="372"/>
      <c r="AW116" s="373"/>
      <c r="AX116" s="374"/>
      <c r="AY116" s="375"/>
      <c r="AZ116" s="371">
        <v>0</v>
      </c>
      <c r="BA116" s="372"/>
      <c r="BB116" s="373"/>
      <c r="BC116" s="374"/>
      <c r="BD116" s="375"/>
      <c r="BE116" s="371">
        <v>0</v>
      </c>
      <c r="BF116" s="372"/>
      <c r="BG116" s="373"/>
      <c r="BH116" s="374"/>
      <c r="BI116" s="375"/>
      <c r="BJ116" s="371">
        <v>0</v>
      </c>
      <c r="BK116" s="372"/>
      <c r="BL116" s="373"/>
      <c r="BM116" s="374"/>
      <c r="BN116" s="375"/>
      <c r="BO116" s="371">
        <v>0</v>
      </c>
      <c r="BP116" s="372"/>
      <c r="BQ116" s="373"/>
      <c r="BR116" s="374"/>
      <c r="BS116" s="375"/>
      <c r="BT116" s="371">
        <f>SUM(L116:BO116)</f>
        <v>0</v>
      </c>
      <c r="BU116" s="372"/>
      <c r="BV116" s="373"/>
      <c r="BW116" s="9"/>
    </row>
    <row r="117" spans="4:75" hidden="1" x14ac:dyDescent="0.2">
      <c r="D117" s="9" t="s">
        <v>467</v>
      </c>
      <c r="E117" s="156"/>
      <c r="F117" s="320"/>
      <c r="G117" s="385">
        <v>0</v>
      </c>
      <c r="H117" s="386"/>
      <c r="I117" s="373"/>
      <c r="J117" s="374"/>
      <c r="K117" s="387"/>
      <c r="L117" s="385">
        <v>0</v>
      </c>
      <c r="M117" s="386"/>
      <c r="N117" s="373"/>
      <c r="O117" s="374"/>
      <c r="P117" s="387"/>
      <c r="Q117" s="385">
        <v>0</v>
      </c>
      <c r="R117" s="386"/>
      <c r="S117" s="373"/>
      <c r="T117" s="374"/>
      <c r="U117" s="387"/>
      <c r="V117" s="385">
        <v>0</v>
      </c>
      <c r="W117" s="386"/>
      <c r="X117" s="373"/>
      <c r="Y117" s="374"/>
      <c r="Z117" s="387"/>
      <c r="AA117" s="385">
        <v>0</v>
      </c>
      <c r="AB117" s="386"/>
      <c r="AC117" s="373"/>
      <c r="AD117" s="374"/>
      <c r="AE117" s="387"/>
      <c r="AF117" s="385">
        <v>0</v>
      </c>
      <c r="AG117" s="386"/>
      <c r="AH117" s="373"/>
      <c r="AI117" s="374"/>
      <c r="AJ117" s="387"/>
      <c r="AK117" s="385">
        <v>0</v>
      </c>
      <c r="AL117" s="386"/>
      <c r="AM117" s="373"/>
      <c r="AN117" s="374"/>
      <c r="AO117" s="387"/>
      <c r="AP117" s="385">
        <v>0</v>
      </c>
      <c r="AQ117" s="386"/>
      <c r="AR117" s="373"/>
      <c r="AS117" s="374"/>
      <c r="AT117" s="387"/>
      <c r="AU117" s="385">
        <v>0</v>
      </c>
      <c r="AV117" s="386"/>
      <c r="AW117" s="373"/>
      <c r="AX117" s="374"/>
      <c r="AY117" s="387"/>
      <c r="AZ117" s="385">
        <v>0</v>
      </c>
      <c r="BA117" s="386"/>
      <c r="BB117" s="373"/>
      <c r="BC117" s="374"/>
      <c r="BD117" s="387"/>
      <c r="BE117" s="385">
        <v>0</v>
      </c>
      <c r="BF117" s="386"/>
      <c r="BG117" s="373"/>
      <c r="BH117" s="374"/>
      <c r="BI117" s="387"/>
      <c r="BJ117" s="385">
        <v>0</v>
      </c>
      <c r="BK117" s="386"/>
      <c r="BL117" s="373"/>
      <c r="BM117" s="374"/>
      <c r="BN117" s="387"/>
      <c r="BO117" s="385">
        <v>0</v>
      </c>
      <c r="BP117" s="386"/>
      <c r="BQ117" s="373"/>
      <c r="BR117" s="374"/>
      <c r="BS117" s="387"/>
      <c r="BT117" s="385">
        <f>SUM(L117:BO117)</f>
        <v>0</v>
      </c>
      <c r="BU117" s="386"/>
      <c r="BV117" s="373"/>
      <c r="BW117" s="9"/>
    </row>
    <row r="118" spans="4:75" hidden="1" x14ac:dyDescent="0.2">
      <c r="D118" s="9"/>
      <c r="E118" s="156"/>
      <c r="G118" s="373"/>
      <c r="H118" s="373"/>
      <c r="I118" s="373"/>
      <c r="J118" s="374"/>
      <c r="K118" s="373"/>
      <c r="L118" s="373"/>
      <c r="M118" s="373"/>
      <c r="N118" s="373"/>
      <c r="O118" s="374"/>
      <c r="P118" s="373"/>
      <c r="Q118" s="373"/>
      <c r="R118" s="373"/>
      <c r="S118" s="373"/>
      <c r="T118" s="374"/>
      <c r="U118" s="373"/>
      <c r="V118" s="373"/>
      <c r="W118" s="373"/>
      <c r="X118" s="373"/>
      <c r="Y118" s="374"/>
      <c r="Z118" s="373"/>
      <c r="AA118" s="373"/>
      <c r="AB118" s="373"/>
      <c r="AC118" s="373"/>
      <c r="AD118" s="374"/>
      <c r="AE118" s="373"/>
      <c r="AF118" s="373"/>
      <c r="AG118" s="373"/>
      <c r="AH118" s="373"/>
      <c r="AI118" s="374"/>
      <c r="AJ118" s="373"/>
      <c r="AK118" s="373"/>
      <c r="AL118" s="373"/>
      <c r="AM118" s="373"/>
      <c r="AN118" s="374"/>
      <c r="AO118" s="373"/>
      <c r="AP118" s="373"/>
      <c r="AQ118" s="373"/>
      <c r="AR118" s="373"/>
      <c r="AS118" s="374"/>
      <c r="AT118" s="373"/>
      <c r="AU118" s="373"/>
      <c r="AV118" s="373"/>
      <c r="AW118" s="373"/>
      <c r="AX118" s="374"/>
      <c r="AY118" s="373"/>
      <c r="AZ118" s="373"/>
      <c r="BA118" s="373"/>
      <c r="BB118" s="373"/>
      <c r="BC118" s="374"/>
      <c r="BD118" s="373"/>
      <c r="BE118" s="373"/>
      <c r="BF118" s="373"/>
      <c r="BG118" s="373"/>
      <c r="BH118" s="374"/>
      <c r="BI118" s="373"/>
      <c r="BJ118" s="373"/>
      <c r="BK118" s="373"/>
      <c r="BL118" s="373"/>
      <c r="BM118" s="374"/>
      <c r="BN118" s="373"/>
      <c r="BO118" s="373"/>
      <c r="BP118" s="373"/>
      <c r="BQ118" s="373"/>
      <c r="BR118" s="374"/>
      <c r="BS118" s="373"/>
      <c r="BT118" s="373"/>
      <c r="BU118" s="373"/>
      <c r="BV118" s="373"/>
      <c r="BW118" s="9"/>
    </row>
    <row r="119" spans="4:75" hidden="1" x14ac:dyDescent="0.2">
      <c r="D119" s="9" t="s">
        <v>470</v>
      </c>
      <c r="E119" s="156"/>
      <c r="G119" s="373">
        <f>SUM(G120:G121)</f>
        <v>0</v>
      </c>
      <c r="H119" s="373"/>
      <c r="I119" s="373"/>
      <c r="J119" s="374"/>
      <c r="K119" s="373"/>
      <c r="L119" s="373">
        <f>SUM(L120:L121)</f>
        <v>0</v>
      </c>
      <c r="M119" s="373"/>
      <c r="N119" s="373"/>
      <c r="O119" s="374"/>
      <c r="P119" s="373"/>
      <c r="Q119" s="373">
        <f>SUM(Q120:Q121)</f>
        <v>0</v>
      </c>
      <c r="R119" s="373"/>
      <c r="S119" s="373"/>
      <c r="T119" s="374"/>
      <c r="U119" s="373"/>
      <c r="V119" s="373">
        <f>SUM(V120:V121)</f>
        <v>0</v>
      </c>
      <c r="W119" s="373"/>
      <c r="X119" s="373"/>
      <c r="Y119" s="374"/>
      <c r="Z119" s="373"/>
      <c r="AA119" s="373">
        <f>SUM(AA120:AA121)</f>
        <v>0</v>
      </c>
      <c r="AB119" s="373"/>
      <c r="AC119" s="373"/>
      <c r="AD119" s="374"/>
      <c r="AE119" s="373"/>
      <c r="AF119" s="373">
        <f>SUM(AF120:AF121)</f>
        <v>0</v>
      </c>
      <c r="AG119" s="373"/>
      <c r="AH119" s="373"/>
      <c r="AI119" s="374"/>
      <c r="AJ119" s="373"/>
      <c r="AK119" s="373">
        <f>SUM(AK120:AK121)</f>
        <v>0</v>
      </c>
      <c r="AL119" s="373"/>
      <c r="AM119" s="373"/>
      <c r="AN119" s="374"/>
      <c r="AO119" s="373"/>
      <c r="AP119" s="373">
        <f>SUM(AP120:AP121)</f>
        <v>0</v>
      </c>
      <c r="AQ119" s="373"/>
      <c r="AR119" s="373"/>
      <c r="AS119" s="374"/>
      <c r="AT119" s="373"/>
      <c r="AU119" s="373">
        <f>SUM(AU120:AU121)</f>
        <v>0</v>
      </c>
      <c r="AV119" s="373"/>
      <c r="AW119" s="373"/>
      <c r="AX119" s="374"/>
      <c r="AY119" s="373"/>
      <c r="AZ119" s="373">
        <f>SUM(AZ120:AZ121)</f>
        <v>0</v>
      </c>
      <c r="BA119" s="373"/>
      <c r="BB119" s="373"/>
      <c r="BC119" s="374"/>
      <c r="BD119" s="373"/>
      <c r="BE119" s="373">
        <f>SUM(BE120:BE121)</f>
        <v>0</v>
      </c>
      <c r="BF119" s="373"/>
      <c r="BG119" s="373"/>
      <c r="BH119" s="374"/>
      <c r="BI119" s="373"/>
      <c r="BJ119" s="373">
        <f>SUM(BJ120:BJ121)</f>
        <v>0</v>
      </c>
      <c r="BK119" s="373"/>
      <c r="BL119" s="373"/>
      <c r="BM119" s="374"/>
      <c r="BN119" s="373"/>
      <c r="BO119" s="373">
        <f>SUM(BO120:BO121)</f>
        <v>0</v>
      </c>
      <c r="BP119" s="373"/>
      <c r="BQ119" s="373"/>
      <c r="BR119" s="374"/>
      <c r="BS119" s="373"/>
      <c r="BT119" s="373">
        <f>SUM(BT120:BT121)</f>
        <v>0</v>
      </c>
      <c r="BU119" s="373"/>
      <c r="BV119" s="373"/>
      <c r="BW119" s="9"/>
    </row>
    <row r="120" spans="4:75" hidden="1" x14ac:dyDescent="0.2">
      <c r="D120" s="9" t="s">
        <v>466</v>
      </c>
      <c r="E120" s="156"/>
      <c r="F120" s="309"/>
      <c r="G120" s="371">
        <v>0</v>
      </c>
      <c r="H120" s="372"/>
      <c r="I120" s="373"/>
      <c r="J120" s="374"/>
      <c r="K120" s="375"/>
      <c r="L120" s="371">
        <v>0</v>
      </c>
      <c r="M120" s="372"/>
      <c r="N120" s="373"/>
      <c r="O120" s="374"/>
      <c r="P120" s="375"/>
      <c r="Q120" s="371">
        <v>0</v>
      </c>
      <c r="R120" s="372"/>
      <c r="S120" s="373"/>
      <c r="T120" s="374"/>
      <c r="U120" s="375"/>
      <c r="V120" s="371">
        <v>0</v>
      </c>
      <c r="W120" s="372"/>
      <c r="X120" s="373"/>
      <c r="Y120" s="374"/>
      <c r="Z120" s="375"/>
      <c r="AA120" s="371">
        <v>0</v>
      </c>
      <c r="AB120" s="372"/>
      <c r="AC120" s="373"/>
      <c r="AD120" s="374"/>
      <c r="AE120" s="375"/>
      <c r="AF120" s="371">
        <v>0</v>
      </c>
      <c r="AG120" s="372"/>
      <c r="AH120" s="373"/>
      <c r="AI120" s="374"/>
      <c r="AJ120" s="375"/>
      <c r="AK120" s="371">
        <v>0</v>
      </c>
      <c r="AL120" s="372"/>
      <c r="AM120" s="373"/>
      <c r="AN120" s="374"/>
      <c r="AO120" s="375"/>
      <c r="AP120" s="371">
        <v>0</v>
      </c>
      <c r="AQ120" s="372"/>
      <c r="AR120" s="373"/>
      <c r="AS120" s="374"/>
      <c r="AT120" s="375"/>
      <c r="AU120" s="371">
        <v>0</v>
      </c>
      <c r="AV120" s="372"/>
      <c r="AW120" s="373"/>
      <c r="AX120" s="374"/>
      <c r="AY120" s="375"/>
      <c r="AZ120" s="371">
        <v>0</v>
      </c>
      <c r="BA120" s="372"/>
      <c r="BB120" s="373"/>
      <c r="BC120" s="374"/>
      <c r="BD120" s="375"/>
      <c r="BE120" s="371">
        <v>0</v>
      </c>
      <c r="BF120" s="372"/>
      <c r="BG120" s="373"/>
      <c r="BH120" s="374"/>
      <c r="BI120" s="375"/>
      <c r="BJ120" s="371">
        <v>0</v>
      </c>
      <c r="BK120" s="372"/>
      <c r="BL120" s="373"/>
      <c r="BM120" s="374"/>
      <c r="BN120" s="375"/>
      <c r="BO120" s="371">
        <v>0</v>
      </c>
      <c r="BP120" s="372"/>
      <c r="BQ120" s="373"/>
      <c r="BR120" s="374"/>
      <c r="BS120" s="375"/>
      <c r="BT120" s="371">
        <f>SUM(L120:BO120)</f>
        <v>0</v>
      </c>
      <c r="BU120" s="372"/>
      <c r="BV120" s="373"/>
      <c r="BW120" s="9"/>
    </row>
    <row r="121" spans="4:75" hidden="1" x14ac:dyDescent="0.2">
      <c r="D121" s="9" t="s">
        <v>467</v>
      </c>
      <c r="E121" s="156"/>
      <c r="F121" s="320"/>
      <c r="G121" s="385">
        <v>0</v>
      </c>
      <c r="H121" s="386"/>
      <c r="I121" s="373"/>
      <c r="J121" s="374"/>
      <c r="K121" s="387"/>
      <c r="L121" s="385">
        <v>0</v>
      </c>
      <c r="M121" s="386"/>
      <c r="N121" s="373"/>
      <c r="O121" s="374"/>
      <c r="P121" s="387"/>
      <c r="Q121" s="385">
        <v>0</v>
      </c>
      <c r="R121" s="386"/>
      <c r="S121" s="373"/>
      <c r="T121" s="374"/>
      <c r="U121" s="387"/>
      <c r="V121" s="385">
        <v>0</v>
      </c>
      <c r="W121" s="386"/>
      <c r="X121" s="373"/>
      <c r="Y121" s="374"/>
      <c r="Z121" s="387"/>
      <c r="AA121" s="385">
        <v>0</v>
      </c>
      <c r="AB121" s="386"/>
      <c r="AC121" s="373"/>
      <c r="AD121" s="374"/>
      <c r="AE121" s="387"/>
      <c r="AF121" s="385">
        <v>0</v>
      </c>
      <c r="AG121" s="386"/>
      <c r="AH121" s="373"/>
      <c r="AI121" s="374"/>
      <c r="AJ121" s="387"/>
      <c r="AK121" s="385">
        <v>0</v>
      </c>
      <c r="AL121" s="386"/>
      <c r="AM121" s="373"/>
      <c r="AN121" s="374"/>
      <c r="AO121" s="387"/>
      <c r="AP121" s="385">
        <v>0</v>
      </c>
      <c r="AQ121" s="386"/>
      <c r="AR121" s="373"/>
      <c r="AS121" s="374"/>
      <c r="AT121" s="387"/>
      <c r="AU121" s="385">
        <v>0</v>
      </c>
      <c r="AV121" s="386"/>
      <c r="AW121" s="373"/>
      <c r="AX121" s="374"/>
      <c r="AY121" s="387"/>
      <c r="AZ121" s="385">
        <v>0</v>
      </c>
      <c r="BA121" s="386"/>
      <c r="BB121" s="373"/>
      <c r="BC121" s="374"/>
      <c r="BD121" s="387"/>
      <c r="BE121" s="385">
        <v>0</v>
      </c>
      <c r="BF121" s="386"/>
      <c r="BG121" s="373"/>
      <c r="BH121" s="374"/>
      <c r="BI121" s="387"/>
      <c r="BJ121" s="385">
        <v>0</v>
      </c>
      <c r="BK121" s="386"/>
      <c r="BL121" s="373"/>
      <c r="BM121" s="374"/>
      <c r="BN121" s="387"/>
      <c r="BO121" s="385">
        <v>0</v>
      </c>
      <c r="BP121" s="386"/>
      <c r="BQ121" s="373"/>
      <c r="BR121" s="374"/>
      <c r="BS121" s="387"/>
      <c r="BT121" s="385">
        <f>SUM(L121:BO121)</f>
        <v>0</v>
      </c>
      <c r="BU121" s="386"/>
      <c r="BV121" s="373"/>
      <c r="BW121" s="9"/>
    </row>
    <row r="122" spans="4:75" hidden="1" x14ac:dyDescent="0.2">
      <c r="D122" s="9"/>
      <c r="E122" s="156"/>
      <c r="G122" s="373"/>
      <c r="H122" s="373"/>
      <c r="I122" s="373"/>
      <c r="J122" s="374"/>
      <c r="K122" s="373"/>
      <c r="L122" s="373"/>
      <c r="M122" s="373"/>
      <c r="N122" s="373"/>
      <c r="O122" s="374"/>
      <c r="P122" s="373"/>
      <c r="Q122" s="373"/>
      <c r="R122" s="373"/>
      <c r="S122" s="373"/>
      <c r="T122" s="374"/>
      <c r="U122" s="373"/>
      <c r="V122" s="373"/>
      <c r="W122" s="373"/>
      <c r="X122" s="373"/>
      <c r="Y122" s="374"/>
      <c r="Z122" s="373"/>
      <c r="AA122" s="373"/>
      <c r="AB122" s="373"/>
      <c r="AC122" s="373"/>
      <c r="AD122" s="374"/>
      <c r="AE122" s="373"/>
      <c r="AF122" s="373"/>
      <c r="AG122" s="373"/>
      <c r="AH122" s="373"/>
      <c r="AI122" s="374"/>
      <c r="AJ122" s="373"/>
      <c r="AK122" s="373"/>
      <c r="AL122" s="373"/>
      <c r="AM122" s="373"/>
      <c r="AN122" s="374"/>
      <c r="AO122" s="373"/>
      <c r="AP122" s="373"/>
      <c r="AQ122" s="373"/>
      <c r="AR122" s="373"/>
      <c r="AS122" s="374"/>
      <c r="AT122" s="373"/>
      <c r="AU122" s="373"/>
      <c r="AV122" s="373"/>
      <c r="AW122" s="373"/>
      <c r="AX122" s="374"/>
      <c r="AY122" s="373"/>
      <c r="AZ122" s="373"/>
      <c r="BA122" s="373"/>
      <c r="BB122" s="373"/>
      <c r="BC122" s="374"/>
      <c r="BD122" s="373"/>
      <c r="BE122" s="373"/>
      <c r="BF122" s="373"/>
      <c r="BG122" s="373"/>
      <c r="BH122" s="374"/>
      <c r="BI122" s="373"/>
      <c r="BJ122" s="373"/>
      <c r="BK122" s="373"/>
      <c r="BL122" s="373"/>
      <c r="BM122" s="374"/>
      <c r="BN122" s="373"/>
      <c r="BO122" s="373"/>
      <c r="BP122" s="373"/>
      <c r="BQ122" s="373"/>
      <c r="BR122" s="374"/>
      <c r="BS122" s="373"/>
      <c r="BT122" s="373"/>
      <c r="BU122" s="373"/>
      <c r="BV122" s="373"/>
      <c r="BW122" s="9"/>
    </row>
    <row r="123" spans="4:75" hidden="1" x14ac:dyDescent="0.2">
      <c r="D123" s="9" t="s">
        <v>471</v>
      </c>
      <c r="E123" s="156"/>
      <c r="G123" s="373">
        <v>0</v>
      </c>
      <c r="H123" s="373"/>
      <c r="I123" s="373"/>
      <c r="J123" s="374"/>
      <c r="K123" s="373"/>
      <c r="L123" s="373">
        <f>SUM(L124:L125)</f>
        <v>0</v>
      </c>
      <c r="M123" s="373"/>
      <c r="N123" s="373"/>
      <c r="O123" s="374"/>
      <c r="P123" s="373"/>
      <c r="Q123" s="373">
        <f>SUM(Q124:Q125)</f>
        <v>0</v>
      </c>
      <c r="R123" s="373"/>
      <c r="S123" s="373"/>
      <c r="T123" s="374"/>
      <c r="U123" s="373"/>
      <c r="V123" s="373">
        <f>SUM(V124:V125)</f>
        <v>0</v>
      </c>
      <c r="W123" s="373"/>
      <c r="X123" s="373"/>
      <c r="Y123" s="374"/>
      <c r="Z123" s="373"/>
      <c r="AA123" s="373">
        <f>SUM(AA124:AA125)</f>
        <v>0</v>
      </c>
      <c r="AB123" s="373"/>
      <c r="AC123" s="373"/>
      <c r="AD123" s="374"/>
      <c r="AE123" s="373"/>
      <c r="AF123" s="373">
        <f>SUM(AF124:AF125)</f>
        <v>0</v>
      </c>
      <c r="AG123" s="373"/>
      <c r="AH123" s="373"/>
      <c r="AI123" s="374"/>
      <c r="AJ123" s="373"/>
      <c r="AK123" s="373">
        <f>SUM(AK124:AK125)</f>
        <v>0</v>
      </c>
      <c r="AL123" s="373"/>
      <c r="AM123" s="373"/>
      <c r="AN123" s="374"/>
      <c r="AO123" s="373"/>
      <c r="AP123" s="373">
        <f>SUM(AP124:AP125)</f>
        <v>0</v>
      </c>
      <c r="AQ123" s="373"/>
      <c r="AR123" s="373"/>
      <c r="AS123" s="374"/>
      <c r="AT123" s="373"/>
      <c r="AU123" s="373">
        <f>SUM(AU124:AU125)</f>
        <v>0</v>
      </c>
      <c r="AV123" s="373"/>
      <c r="AW123" s="373"/>
      <c r="AX123" s="374"/>
      <c r="AY123" s="373"/>
      <c r="AZ123" s="373">
        <f>SUM(AZ124:AZ125)</f>
        <v>0</v>
      </c>
      <c r="BA123" s="373"/>
      <c r="BB123" s="373"/>
      <c r="BC123" s="374"/>
      <c r="BD123" s="373"/>
      <c r="BE123" s="373">
        <f>SUM(BE124:BE125)</f>
        <v>0</v>
      </c>
      <c r="BF123" s="373"/>
      <c r="BG123" s="373"/>
      <c r="BH123" s="374"/>
      <c r="BI123" s="373"/>
      <c r="BJ123" s="373">
        <f>SUM(BJ124:BJ125)</f>
        <v>0</v>
      </c>
      <c r="BK123" s="373"/>
      <c r="BL123" s="373"/>
      <c r="BM123" s="374"/>
      <c r="BN123" s="373"/>
      <c r="BO123" s="373">
        <f>SUM(BO124:BO125)</f>
        <v>0</v>
      </c>
      <c r="BP123" s="373"/>
      <c r="BQ123" s="373"/>
      <c r="BR123" s="374"/>
      <c r="BS123" s="373"/>
      <c r="BT123" s="373">
        <f>SUM(BT124:BT125)</f>
        <v>0</v>
      </c>
      <c r="BU123" s="373"/>
      <c r="BV123" s="373"/>
      <c r="BW123" s="9"/>
    </row>
    <row r="124" spans="4:75" hidden="1" x14ac:dyDescent="0.2">
      <c r="D124" s="9" t="s">
        <v>466</v>
      </c>
      <c r="E124" s="156"/>
      <c r="F124" s="309"/>
      <c r="G124" s="371">
        <v>0</v>
      </c>
      <c r="H124" s="372"/>
      <c r="I124" s="373"/>
      <c r="J124" s="374"/>
      <c r="K124" s="375"/>
      <c r="L124" s="371">
        <v>0</v>
      </c>
      <c r="M124" s="372"/>
      <c r="N124" s="373"/>
      <c r="O124" s="374"/>
      <c r="P124" s="375"/>
      <c r="Q124" s="371">
        <v>0</v>
      </c>
      <c r="R124" s="372"/>
      <c r="S124" s="373"/>
      <c r="T124" s="374"/>
      <c r="U124" s="375"/>
      <c r="V124" s="371">
        <v>0</v>
      </c>
      <c r="W124" s="372"/>
      <c r="X124" s="373"/>
      <c r="Y124" s="374"/>
      <c r="Z124" s="375"/>
      <c r="AA124" s="371">
        <v>0</v>
      </c>
      <c r="AB124" s="372"/>
      <c r="AC124" s="373"/>
      <c r="AD124" s="374"/>
      <c r="AE124" s="375"/>
      <c r="AF124" s="371">
        <v>0</v>
      </c>
      <c r="AG124" s="372"/>
      <c r="AH124" s="373"/>
      <c r="AI124" s="374"/>
      <c r="AJ124" s="375"/>
      <c r="AK124" s="371">
        <v>0</v>
      </c>
      <c r="AL124" s="372"/>
      <c r="AM124" s="373"/>
      <c r="AN124" s="374"/>
      <c r="AO124" s="375"/>
      <c r="AP124" s="371">
        <v>0</v>
      </c>
      <c r="AQ124" s="372"/>
      <c r="AR124" s="373"/>
      <c r="AS124" s="374"/>
      <c r="AT124" s="375"/>
      <c r="AU124" s="371">
        <v>0</v>
      </c>
      <c r="AV124" s="372"/>
      <c r="AW124" s="373"/>
      <c r="AX124" s="374"/>
      <c r="AY124" s="375"/>
      <c r="AZ124" s="371">
        <v>0</v>
      </c>
      <c r="BA124" s="372"/>
      <c r="BB124" s="373"/>
      <c r="BC124" s="374"/>
      <c r="BD124" s="375"/>
      <c r="BE124" s="371">
        <v>0</v>
      </c>
      <c r="BF124" s="372"/>
      <c r="BG124" s="373"/>
      <c r="BH124" s="374"/>
      <c r="BI124" s="375"/>
      <c r="BJ124" s="371">
        <v>0</v>
      </c>
      <c r="BK124" s="372"/>
      <c r="BL124" s="373"/>
      <c r="BM124" s="374"/>
      <c r="BN124" s="375"/>
      <c r="BO124" s="371">
        <v>0</v>
      </c>
      <c r="BP124" s="372"/>
      <c r="BQ124" s="373"/>
      <c r="BR124" s="374"/>
      <c r="BS124" s="375"/>
      <c r="BT124" s="371">
        <f>SUM(L124:BO124)</f>
        <v>0</v>
      </c>
      <c r="BU124" s="372"/>
      <c r="BV124" s="373"/>
      <c r="BW124" s="9"/>
    </row>
    <row r="125" spans="4:75" hidden="1" x14ac:dyDescent="0.2">
      <c r="D125" s="9" t="s">
        <v>467</v>
      </c>
      <c r="E125" s="156"/>
      <c r="F125" s="320"/>
      <c r="G125" s="385">
        <v>0</v>
      </c>
      <c r="H125" s="386"/>
      <c r="I125" s="373"/>
      <c r="J125" s="374"/>
      <c r="K125" s="387"/>
      <c r="L125" s="385">
        <v>0</v>
      </c>
      <c r="M125" s="386"/>
      <c r="N125" s="373"/>
      <c r="O125" s="374"/>
      <c r="P125" s="387"/>
      <c r="Q125" s="385">
        <v>0</v>
      </c>
      <c r="R125" s="386"/>
      <c r="S125" s="373"/>
      <c r="T125" s="374"/>
      <c r="U125" s="387"/>
      <c r="V125" s="385">
        <v>0</v>
      </c>
      <c r="W125" s="386"/>
      <c r="X125" s="373"/>
      <c r="Y125" s="374"/>
      <c r="Z125" s="387"/>
      <c r="AA125" s="385">
        <v>0</v>
      </c>
      <c r="AB125" s="386"/>
      <c r="AC125" s="373"/>
      <c r="AD125" s="374"/>
      <c r="AE125" s="387"/>
      <c r="AF125" s="385">
        <v>0</v>
      </c>
      <c r="AG125" s="386"/>
      <c r="AH125" s="373"/>
      <c r="AI125" s="374"/>
      <c r="AJ125" s="387"/>
      <c r="AK125" s="385">
        <v>0</v>
      </c>
      <c r="AL125" s="386"/>
      <c r="AM125" s="373"/>
      <c r="AN125" s="374"/>
      <c r="AO125" s="387"/>
      <c r="AP125" s="385">
        <v>0</v>
      </c>
      <c r="AQ125" s="386"/>
      <c r="AR125" s="373"/>
      <c r="AS125" s="374"/>
      <c r="AT125" s="387"/>
      <c r="AU125" s="385">
        <v>0</v>
      </c>
      <c r="AV125" s="386"/>
      <c r="AW125" s="373"/>
      <c r="AX125" s="374"/>
      <c r="AY125" s="387"/>
      <c r="AZ125" s="385">
        <v>0</v>
      </c>
      <c r="BA125" s="386"/>
      <c r="BB125" s="373"/>
      <c r="BC125" s="374"/>
      <c r="BD125" s="387"/>
      <c r="BE125" s="385">
        <v>0</v>
      </c>
      <c r="BF125" s="386"/>
      <c r="BG125" s="373"/>
      <c r="BH125" s="374"/>
      <c r="BI125" s="387"/>
      <c r="BJ125" s="385">
        <v>0</v>
      </c>
      <c r="BK125" s="386"/>
      <c r="BL125" s="373"/>
      <c r="BM125" s="374"/>
      <c r="BN125" s="387"/>
      <c r="BO125" s="385">
        <v>0</v>
      </c>
      <c r="BP125" s="386"/>
      <c r="BQ125" s="373"/>
      <c r="BR125" s="374"/>
      <c r="BS125" s="387"/>
      <c r="BT125" s="385">
        <f>SUM(L125:BO125)</f>
        <v>0</v>
      </c>
      <c r="BU125" s="386"/>
      <c r="BV125" s="373"/>
      <c r="BW125" s="9"/>
    </row>
    <row r="126" spans="4:75" hidden="1" x14ac:dyDescent="0.2">
      <c r="D126" s="9"/>
      <c r="E126" s="156"/>
      <c r="G126" s="373"/>
      <c r="H126" s="373"/>
      <c r="I126" s="373"/>
      <c r="J126" s="374"/>
      <c r="K126" s="373"/>
      <c r="L126" s="373"/>
      <c r="M126" s="373"/>
      <c r="N126" s="373"/>
      <c r="O126" s="374"/>
      <c r="P126" s="373"/>
      <c r="Q126" s="373"/>
      <c r="R126" s="373"/>
      <c r="S126" s="373"/>
      <c r="T126" s="374"/>
      <c r="U126" s="373"/>
      <c r="V126" s="373"/>
      <c r="W126" s="373"/>
      <c r="X126" s="373"/>
      <c r="Y126" s="374"/>
      <c r="Z126" s="373"/>
      <c r="AA126" s="373"/>
      <c r="AB126" s="373"/>
      <c r="AC126" s="373"/>
      <c r="AD126" s="374"/>
      <c r="AE126" s="373"/>
      <c r="AF126" s="373"/>
      <c r="AG126" s="373"/>
      <c r="AH126" s="373"/>
      <c r="AI126" s="374"/>
      <c r="AJ126" s="373"/>
      <c r="AK126" s="373"/>
      <c r="AL126" s="373"/>
      <c r="AM126" s="373"/>
      <c r="AN126" s="374"/>
      <c r="AO126" s="373"/>
      <c r="AP126" s="373"/>
      <c r="AQ126" s="373"/>
      <c r="AR126" s="373"/>
      <c r="AS126" s="374"/>
      <c r="AT126" s="373"/>
      <c r="AU126" s="373"/>
      <c r="AV126" s="373"/>
      <c r="AW126" s="373"/>
      <c r="AX126" s="374"/>
      <c r="AY126" s="373"/>
      <c r="AZ126" s="373"/>
      <c r="BA126" s="373"/>
      <c r="BB126" s="373"/>
      <c r="BC126" s="374"/>
      <c r="BD126" s="373"/>
      <c r="BE126" s="373"/>
      <c r="BF126" s="373"/>
      <c r="BG126" s="373"/>
      <c r="BH126" s="374"/>
      <c r="BI126" s="373"/>
      <c r="BJ126" s="373"/>
      <c r="BK126" s="373"/>
      <c r="BL126" s="373"/>
      <c r="BM126" s="374"/>
      <c r="BN126" s="373"/>
      <c r="BO126" s="373"/>
      <c r="BP126" s="373"/>
      <c r="BQ126" s="373"/>
      <c r="BR126" s="374"/>
      <c r="BS126" s="373"/>
      <c r="BT126" s="373"/>
      <c r="BU126" s="373"/>
      <c r="BV126" s="373"/>
      <c r="BW126" s="9"/>
    </row>
    <row r="127" spans="4:75" hidden="1" x14ac:dyDescent="0.2">
      <c r="D127" s="9" t="s">
        <v>472</v>
      </c>
      <c r="E127" s="156"/>
      <c r="G127" s="373">
        <v>0</v>
      </c>
      <c r="H127" s="373"/>
      <c r="I127" s="373"/>
      <c r="J127" s="374"/>
      <c r="K127" s="373"/>
      <c r="L127" s="373">
        <f>SUM(L128:L129)</f>
        <v>0</v>
      </c>
      <c r="M127" s="373"/>
      <c r="N127" s="373"/>
      <c r="O127" s="374"/>
      <c r="P127" s="373"/>
      <c r="Q127" s="373">
        <f>SUM(Q128:Q129)</f>
        <v>0</v>
      </c>
      <c r="R127" s="373"/>
      <c r="S127" s="373"/>
      <c r="T127" s="374"/>
      <c r="U127" s="373"/>
      <c r="V127" s="373">
        <f>SUM(V128:V129)</f>
        <v>0</v>
      </c>
      <c r="W127" s="373"/>
      <c r="X127" s="373"/>
      <c r="Y127" s="374"/>
      <c r="Z127" s="373"/>
      <c r="AA127" s="373">
        <f>SUM(AA128:AA129)</f>
        <v>0</v>
      </c>
      <c r="AB127" s="373"/>
      <c r="AC127" s="373"/>
      <c r="AD127" s="374"/>
      <c r="AE127" s="373"/>
      <c r="AF127" s="373">
        <f>SUM(AF128:AF129)</f>
        <v>0</v>
      </c>
      <c r="AG127" s="373"/>
      <c r="AH127" s="373"/>
      <c r="AI127" s="374"/>
      <c r="AJ127" s="373"/>
      <c r="AK127" s="373">
        <f>SUM(AK128:AK129)</f>
        <v>0</v>
      </c>
      <c r="AL127" s="373"/>
      <c r="AM127" s="373"/>
      <c r="AN127" s="374"/>
      <c r="AO127" s="373"/>
      <c r="AP127" s="373">
        <f>SUM(AP128:AP129)</f>
        <v>0</v>
      </c>
      <c r="AQ127" s="373"/>
      <c r="AR127" s="373"/>
      <c r="AS127" s="374"/>
      <c r="AT127" s="373"/>
      <c r="AU127" s="373">
        <f>SUM(AU128:AU129)</f>
        <v>0</v>
      </c>
      <c r="AV127" s="373"/>
      <c r="AW127" s="373"/>
      <c r="AX127" s="374"/>
      <c r="AY127" s="373"/>
      <c r="AZ127" s="373">
        <f>SUM(AZ128:AZ129)</f>
        <v>0</v>
      </c>
      <c r="BA127" s="373"/>
      <c r="BB127" s="373"/>
      <c r="BC127" s="374"/>
      <c r="BD127" s="373"/>
      <c r="BE127" s="373">
        <f>SUM(BE128:BE129)</f>
        <v>0</v>
      </c>
      <c r="BF127" s="373"/>
      <c r="BG127" s="373"/>
      <c r="BH127" s="374"/>
      <c r="BI127" s="373"/>
      <c r="BJ127" s="373">
        <f>SUM(BJ128:BJ129)</f>
        <v>0</v>
      </c>
      <c r="BK127" s="373"/>
      <c r="BL127" s="373"/>
      <c r="BM127" s="374"/>
      <c r="BN127" s="373"/>
      <c r="BO127" s="373">
        <f>SUM(BO128:BO129)</f>
        <v>0</v>
      </c>
      <c r="BP127" s="373"/>
      <c r="BQ127" s="373"/>
      <c r="BR127" s="374"/>
      <c r="BS127" s="373"/>
      <c r="BT127" s="373">
        <f>SUM(BT128:BT129)</f>
        <v>0</v>
      </c>
      <c r="BU127" s="373"/>
      <c r="BV127" s="373"/>
      <c r="BW127" s="9"/>
    </row>
    <row r="128" spans="4:75" hidden="1" x14ac:dyDescent="0.2">
      <c r="D128" s="9" t="s">
        <v>466</v>
      </c>
      <c r="E128" s="156"/>
      <c r="F128" s="309"/>
      <c r="G128" s="371">
        <v>0</v>
      </c>
      <c r="H128" s="372"/>
      <c r="I128" s="373"/>
      <c r="J128" s="374"/>
      <c r="K128" s="375"/>
      <c r="L128" s="371">
        <v>0</v>
      </c>
      <c r="M128" s="372"/>
      <c r="N128" s="373"/>
      <c r="O128" s="374"/>
      <c r="P128" s="375"/>
      <c r="Q128" s="371">
        <v>0</v>
      </c>
      <c r="R128" s="372"/>
      <c r="S128" s="373"/>
      <c r="T128" s="374"/>
      <c r="U128" s="375"/>
      <c r="V128" s="371">
        <v>0</v>
      </c>
      <c r="W128" s="372"/>
      <c r="X128" s="373"/>
      <c r="Y128" s="374"/>
      <c r="Z128" s="375"/>
      <c r="AA128" s="371">
        <v>0</v>
      </c>
      <c r="AB128" s="372"/>
      <c r="AC128" s="373"/>
      <c r="AD128" s="374"/>
      <c r="AE128" s="375"/>
      <c r="AF128" s="371">
        <v>0</v>
      </c>
      <c r="AG128" s="372"/>
      <c r="AH128" s="373"/>
      <c r="AI128" s="374"/>
      <c r="AJ128" s="375"/>
      <c r="AK128" s="371">
        <v>0</v>
      </c>
      <c r="AL128" s="372"/>
      <c r="AM128" s="373"/>
      <c r="AN128" s="374"/>
      <c r="AO128" s="375"/>
      <c r="AP128" s="371">
        <v>0</v>
      </c>
      <c r="AQ128" s="372"/>
      <c r="AR128" s="373"/>
      <c r="AS128" s="374"/>
      <c r="AT128" s="375"/>
      <c r="AU128" s="371">
        <v>0</v>
      </c>
      <c r="AV128" s="372"/>
      <c r="AW128" s="373"/>
      <c r="AX128" s="374"/>
      <c r="AY128" s="375"/>
      <c r="AZ128" s="371">
        <v>0</v>
      </c>
      <c r="BA128" s="372"/>
      <c r="BB128" s="373"/>
      <c r="BC128" s="374"/>
      <c r="BD128" s="375"/>
      <c r="BE128" s="371">
        <v>0</v>
      </c>
      <c r="BF128" s="372"/>
      <c r="BG128" s="373"/>
      <c r="BH128" s="374"/>
      <c r="BI128" s="375"/>
      <c r="BJ128" s="371">
        <v>0</v>
      </c>
      <c r="BK128" s="372"/>
      <c r="BL128" s="373"/>
      <c r="BM128" s="374"/>
      <c r="BN128" s="375"/>
      <c r="BO128" s="371">
        <v>0</v>
      </c>
      <c r="BP128" s="372"/>
      <c r="BQ128" s="373"/>
      <c r="BR128" s="374"/>
      <c r="BS128" s="375"/>
      <c r="BT128" s="371">
        <f>SUM(L128:BO128)</f>
        <v>0</v>
      </c>
      <c r="BU128" s="372"/>
      <c r="BV128" s="373"/>
      <c r="BW128" s="9"/>
    </row>
    <row r="129" spans="4:75" hidden="1" x14ac:dyDescent="0.2">
      <c r="D129" s="9" t="s">
        <v>467</v>
      </c>
      <c r="E129" s="156"/>
      <c r="F129" s="320"/>
      <c r="G129" s="385">
        <v>0</v>
      </c>
      <c r="H129" s="386"/>
      <c r="I129" s="373"/>
      <c r="J129" s="374"/>
      <c r="K129" s="387"/>
      <c r="L129" s="385">
        <v>0</v>
      </c>
      <c r="M129" s="386"/>
      <c r="N129" s="373"/>
      <c r="O129" s="374"/>
      <c r="P129" s="387"/>
      <c r="Q129" s="385">
        <v>0</v>
      </c>
      <c r="R129" s="386"/>
      <c r="S129" s="373"/>
      <c r="T129" s="374"/>
      <c r="U129" s="387"/>
      <c r="V129" s="385">
        <v>0</v>
      </c>
      <c r="W129" s="386"/>
      <c r="X129" s="373"/>
      <c r="Y129" s="374"/>
      <c r="Z129" s="387"/>
      <c r="AA129" s="385">
        <v>0</v>
      </c>
      <c r="AB129" s="386"/>
      <c r="AC129" s="373"/>
      <c r="AD129" s="374"/>
      <c r="AE129" s="387"/>
      <c r="AF129" s="385">
        <v>0</v>
      </c>
      <c r="AG129" s="386"/>
      <c r="AH129" s="373"/>
      <c r="AI129" s="374"/>
      <c r="AJ129" s="387"/>
      <c r="AK129" s="385">
        <v>0</v>
      </c>
      <c r="AL129" s="386"/>
      <c r="AM129" s="373"/>
      <c r="AN129" s="374"/>
      <c r="AO129" s="387"/>
      <c r="AP129" s="385">
        <v>0</v>
      </c>
      <c r="AQ129" s="386"/>
      <c r="AR129" s="373"/>
      <c r="AS129" s="374"/>
      <c r="AT129" s="387"/>
      <c r="AU129" s="385">
        <v>0</v>
      </c>
      <c r="AV129" s="386"/>
      <c r="AW129" s="373"/>
      <c r="AX129" s="374"/>
      <c r="AY129" s="387"/>
      <c r="AZ129" s="385">
        <v>0</v>
      </c>
      <c r="BA129" s="386"/>
      <c r="BB129" s="373"/>
      <c r="BC129" s="374"/>
      <c r="BD129" s="387"/>
      <c r="BE129" s="385">
        <v>0</v>
      </c>
      <c r="BF129" s="386"/>
      <c r="BG129" s="373"/>
      <c r="BH129" s="374"/>
      <c r="BI129" s="387"/>
      <c r="BJ129" s="385">
        <v>0</v>
      </c>
      <c r="BK129" s="386"/>
      <c r="BL129" s="373"/>
      <c r="BM129" s="374"/>
      <c r="BN129" s="387"/>
      <c r="BO129" s="385">
        <v>0</v>
      </c>
      <c r="BP129" s="386"/>
      <c r="BQ129" s="373"/>
      <c r="BR129" s="374"/>
      <c r="BS129" s="387"/>
      <c r="BT129" s="385">
        <f>SUM(L129:BO129)</f>
        <v>0</v>
      </c>
      <c r="BU129" s="386"/>
      <c r="BV129" s="373"/>
      <c r="BW129" s="9"/>
    </row>
    <row r="130" spans="4:75" x14ac:dyDescent="0.2">
      <c r="D130" s="9"/>
      <c r="E130" s="156"/>
      <c r="G130" s="373"/>
      <c r="H130" s="373"/>
      <c r="I130" s="373"/>
      <c r="J130" s="374"/>
      <c r="K130" s="373"/>
      <c r="L130" s="373"/>
      <c r="M130" s="373"/>
      <c r="N130" s="373"/>
      <c r="O130" s="374"/>
      <c r="P130" s="373"/>
      <c r="Q130" s="373"/>
      <c r="R130" s="373"/>
      <c r="S130" s="373"/>
      <c r="T130" s="374"/>
      <c r="U130" s="373"/>
      <c r="V130" s="373"/>
      <c r="W130" s="373"/>
      <c r="X130" s="373"/>
      <c r="Y130" s="374"/>
      <c r="Z130" s="373"/>
      <c r="AA130" s="373"/>
      <c r="AB130" s="373"/>
      <c r="AC130" s="373"/>
      <c r="AD130" s="374"/>
      <c r="AE130" s="373"/>
      <c r="AF130" s="373"/>
      <c r="AG130" s="373"/>
      <c r="AH130" s="373"/>
      <c r="AI130" s="374"/>
      <c r="AJ130" s="373"/>
      <c r="AK130" s="373"/>
      <c r="AL130" s="373"/>
      <c r="AM130" s="373"/>
      <c r="AN130" s="374"/>
      <c r="AO130" s="373"/>
      <c r="AP130" s="373"/>
      <c r="AQ130" s="373"/>
      <c r="AR130" s="373"/>
      <c r="AS130" s="374"/>
      <c r="AT130" s="373"/>
      <c r="AU130" s="373"/>
      <c r="AV130" s="373"/>
      <c r="AW130" s="373"/>
      <c r="AX130" s="374"/>
      <c r="AY130" s="373"/>
      <c r="AZ130" s="373"/>
      <c r="BA130" s="373"/>
      <c r="BB130" s="373"/>
      <c r="BC130" s="374"/>
      <c r="BD130" s="373"/>
      <c r="BE130" s="373"/>
      <c r="BF130" s="373"/>
      <c r="BG130" s="373"/>
      <c r="BH130" s="374"/>
      <c r="BI130" s="373"/>
      <c r="BJ130" s="373"/>
      <c r="BK130" s="373"/>
      <c r="BL130" s="373"/>
      <c r="BM130" s="374"/>
      <c r="BN130" s="373"/>
      <c r="BO130" s="373"/>
      <c r="BP130" s="373"/>
      <c r="BQ130" s="373"/>
      <c r="BR130" s="374"/>
      <c r="BS130" s="373"/>
      <c r="BT130" s="373"/>
      <c r="BU130" s="373"/>
      <c r="BV130" s="373"/>
      <c r="BW130" s="9"/>
    </row>
    <row r="131" spans="4:75" x14ac:dyDescent="0.2">
      <c r="D131" s="9" t="s">
        <v>473</v>
      </c>
      <c r="E131" s="156"/>
      <c r="G131" s="373">
        <f>SUM(G132:G133)</f>
        <v>778000</v>
      </c>
      <c r="H131" s="373"/>
      <c r="I131" s="373"/>
      <c r="J131" s="374"/>
      <c r="K131" s="373"/>
      <c r="L131" s="373">
        <f>SUM(L132:L133)</f>
        <v>777665</v>
      </c>
      <c r="M131" s="373"/>
      <c r="N131" s="373"/>
      <c r="O131" s="374"/>
      <c r="P131" s="373"/>
      <c r="Q131" s="373">
        <f>SUM(Q132:Q133)</f>
        <v>0</v>
      </c>
      <c r="R131" s="373"/>
      <c r="S131" s="373"/>
      <c r="T131" s="374"/>
      <c r="U131" s="373"/>
      <c r="V131" s="373">
        <f>SUM(V132:V133)</f>
        <v>0</v>
      </c>
      <c r="W131" s="373"/>
      <c r="X131" s="373"/>
      <c r="Y131" s="374"/>
      <c r="Z131" s="373"/>
      <c r="AA131" s="373">
        <f>SUM(AA132:AA133)</f>
        <v>0</v>
      </c>
      <c r="AB131" s="373"/>
      <c r="AC131" s="373"/>
      <c r="AD131" s="374"/>
      <c r="AE131" s="373"/>
      <c r="AF131" s="373">
        <f>SUM(AF132:AF133)</f>
        <v>0</v>
      </c>
      <c r="AG131" s="373"/>
      <c r="AH131" s="373"/>
      <c r="AI131" s="374"/>
      <c r="AJ131" s="373"/>
      <c r="AK131" s="373">
        <f>SUM(AK132:AK133)</f>
        <v>0</v>
      </c>
      <c r="AL131" s="373"/>
      <c r="AM131" s="373"/>
      <c r="AN131" s="374"/>
      <c r="AO131" s="373"/>
      <c r="AP131" s="373">
        <f>SUM(AP132:AP133)</f>
        <v>0</v>
      </c>
      <c r="AQ131" s="373"/>
      <c r="AR131" s="373"/>
      <c r="AS131" s="374"/>
      <c r="AT131" s="373"/>
      <c r="AU131" s="373">
        <f>SUM(AU132:AU133)</f>
        <v>0</v>
      </c>
      <c r="AV131" s="373"/>
      <c r="AW131" s="373"/>
      <c r="AX131" s="374"/>
      <c r="AY131" s="373"/>
      <c r="AZ131" s="373">
        <f>SUM(AZ132:AZ133)</f>
        <v>0</v>
      </c>
      <c r="BA131" s="373"/>
      <c r="BB131" s="373"/>
      <c r="BC131" s="374"/>
      <c r="BD131" s="373"/>
      <c r="BE131" s="373">
        <f>SUM(BE132:BE133)</f>
        <v>0</v>
      </c>
      <c r="BF131" s="373"/>
      <c r="BG131" s="373"/>
      <c r="BH131" s="374"/>
      <c r="BI131" s="373"/>
      <c r="BJ131" s="373">
        <f>SUM(BJ132:BJ133)</f>
        <v>0</v>
      </c>
      <c r="BK131" s="373"/>
      <c r="BL131" s="373"/>
      <c r="BM131" s="374"/>
      <c r="BN131" s="373"/>
      <c r="BO131" s="373">
        <f>SUM(BO132:BO133)</f>
        <v>0</v>
      </c>
      <c r="BP131" s="373"/>
      <c r="BQ131" s="373"/>
      <c r="BR131" s="374"/>
      <c r="BS131" s="373"/>
      <c r="BT131" s="373">
        <f>SUM(BT132:BT133)</f>
        <v>777665</v>
      </c>
      <c r="BU131" s="373"/>
      <c r="BV131" s="373"/>
      <c r="BW131" s="9"/>
    </row>
    <row r="132" spans="4:75" x14ac:dyDescent="0.2">
      <c r="D132" s="9" t="s">
        <v>466</v>
      </c>
      <c r="E132" s="156"/>
      <c r="F132" s="309"/>
      <c r="G132" s="371">
        <v>392000</v>
      </c>
      <c r="H132" s="372"/>
      <c r="I132" s="373"/>
      <c r="J132" s="374"/>
      <c r="K132" s="375"/>
      <c r="L132" s="371">
        <v>391647</v>
      </c>
      <c r="M132" s="372"/>
      <c r="N132" s="373"/>
      <c r="O132" s="374"/>
      <c r="P132" s="375"/>
      <c r="Q132" s="371">
        <v>0</v>
      </c>
      <c r="R132" s="372"/>
      <c r="S132" s="373"/>
      <c r="T132" s="374"/>
      <c r="U132" s="375"/>
      <c r="V132" s="371">
        <v>0</v>
      </c>
      <c r="W132" s="372"/>
      <c r="X132" s="373"/>
      <c r="Y132" s="374"/>
      <c r="Z132" s="375"/>
      <c r="AA132" s="371">
        <v>0</v>
      </c>
      <c r="AB132" s="372"/>
      <c r="AC132" s="373"/>
      <c r="AD132" s="374"/>
      <c r="AE132" s="375"/>
      <c r="AF132" s="371">
        <v>0</v>
      </c>
      <c r="AG132" s="372"/>
      <c r="AH132" s="373"/>
      <c r="AI132" s="374"/>
      <c r="AJ132" s="375"/>
      <c r="AK132" s="371">
        <v>0</v>
      </c>
      <c r="AL132" s="372"/>
      <c r="AM132" s="373"/>
      <c r="AN132" s="374"/>
      <c r="AO132" s="375"/>
      <c r="AP132" s="371">
        <v>0</v>
      </c>
      <c r="AQ132" s="372"/>
      <c r="AR132" s="373"/>
      <c r="AS132" s="374"/>
      <c r="AT132" s="375"/>
      <c r="AU132" s="371">
        <v>0</v>
      </c>
      <c r="AV132" s="372"/>
      <c r="AW132" s="373"/>
      <c r="AX132" s="374"/>
      <c r="AY132" s="375"/>
      <c r="AZ132" s="371">
        <v>0</v>
      </c>
      <c r="BA132" s="372"/>
      <c r="BB132" s="373"/>
      <c r="BC132" s="374"/>
      <c r="BD132" s="375"/>
      <c r="BE132" s="371">
        <v>0</v>
      </c>
      <c r="BF132" s="372"/>
      <c r="BG132" s="373"/>
      <c r="BH132" s="374"/>
      <c r="BI132" s="375"/>
      <c r="BJ132" s="371">
        <v>0</v>
      </c>
      <c r="BK132" s="372"/>
      <c r="BL132" s="373"/>
      <c r="BM132" s="374"/>
      <c r="BN132" s="375"/>
      <c r="BO132" s="371">
        <v>0</v>
      </c>
      <c r="BP132" s="372"/>
      <c r="BQ132" s="373"/>
      <c r="BR132" s="374"/>
      <c r="BS132" s="375"/>
      <c r="BT132" s="371">
        <f>SUM(L132:BO132)</f>
        <v>391647</v>
      </c>
      <c r="BU132" s="372"/>
      <c r="BV132" s="373"/>
      <c r="BW132" s="9"/>
    </row>
    <row r="133" spans="4:75" x14ac:dyDescent="0.2">
      <c r="D133" s="9" t="s">
        <v>467</v>
      </c>
      <c r="E133" s="156"/>
      <c r="F133" s="320"/>
      <c r="G133" s="385">
        <v>386000</v>
      </c>
      <c r="H133" s="386"/>
      <c r="I133" s="373"/>
      <c r="J133" s="374"/>
      <c r="K133" s="387"/>
      <c r="L133" s="385">
        <v>386018</v>
      </c>
      <c r="M133" s="386"/>
      <c r="N133" s="373"/>
      <c r="O133" s="374"/>
      <c r="P133" s="387"/>
      <c r="Q133" s="385">
        <v>0</v>
      </c>
      <c r="R133" s="386"/>
      <c r="S133" s="373"/>
      <c r="T133" s="374"/>
      <c r="U133" s="387"/>
      <c r="V133" s="385">
        <v>0</v>
      </c>
      <c r="W133" s="386"/>
      <c r="X133" s="373"/>
      <c r="Y133" s="374"/>
      <c r="Z133" s="387"/>
      <c r="AA133" s="385">
        <v>0</v>
      </c>
      <c r="AB133" s="386"/>
      <c r="AC133" s="373"/>
      <c r="AD133" s="374"/>
      <c r="AE133" s="387"/>
      <c r="AF133" s="385">
        <v>0</v>
      </c>
      <c r="AG133" s="386"/>
      <c r="AH133" s="373"/>
      <c r="AI133" s="374"/>
      <c r="AJ133" s="387"/>
      <c r="AK133" s="385">
        <v>0</v>
      </c>
      <c r="AL133" s="386"/>
      <c r="AM133" s="373"/>
      <c r="AN133" s="374"/>
      <c r="AO133" s="387"/>
      <c r="AP133" s="385">
        <v>0</v>
      </c>
      <c r="AQ133" s="386"/>
      <c r="AR133" s="373"/>
      <c r="AS133" s="374"/>
      <c r="AT133" s="387"/>
      <c r="AU133" s="385">
        <v>0</v>
      </c>
      <c r="AV133" s="386"/>
      <c r="AW133" s="373"/>
      <c r="AX133" s="374"/>
      <c r="AY133" s="387"/>
      <c r="AZ133" s="385">
        <v>0</v>
      </c>
      <c r="BA133" s="386"/>
      <c r="BB133" s="373"/>
      <c r="BC133" s="374"/>
      <c r="BD133" s="387"/>
      <c r="BE133" s="385">
        <v>0</v>
      </c>
      <c r="BF133" s="386"/>
      <c r="BG133" s="373"/>
      <c r="BH133" s="374"/>
      <c r="BI133" s="387"/>
      <c r="BJ133" s="385">
        <v>0</v>
      </c>
      <c r="BK133" s="386"/>
      <c r="BL133" s="373"/>
      <c r="BM133" s="374"/>
      <c r="BN133" s="387"/>
      <c r="BO133" s="385">
        <v>0</v>
      </c>
      <c r="BP133" s="386"/>
      <c r="BQ133" s="373"/>
      <c r="BR133" s="374"/>
      <c r="BS133" s="387"/>
      <c r="BT133" s="385">
        <f>SUM(L133:BO133)</f>
        <v>386018</v>
      </c>
      <c r="BU133" s="386"/>
      <c r="BV133" s="373"/>
      <c r="BW133" s="9"/>
    </row>
    <row r="134" spans="4:75" ht="12.75" customHeight="1" x14ac:dyDescent="0.2">
      <c r="D134" s="9"/>
      <c r="E134" s="156"/>
      <c r="G134" s="373"/>
      <c r="H134" s="373"/>
      <c r="I134" s="373"/>
      <c r="J134" s="374"/>
      <c r="K134" s="373"/>
      <c r="L134" s="373"/>
      <c r="M134" s="373"/>
      <c r="N134" s="373"/>
      <c r="O134" s="374"/>
      <c r="P134" s="373"/>
      <c r="Q134" s="373"/>
      <c r="R134" s="373"/>
      <c r="S134" s="373"/>
      <c r="T134" s="374"/>
      <c r="U134" s="373"/>
      <c r="V134" s="373"/>
      <c r="W134" s="373"/>
      <c r="X134" s="373"/>
      <c r="Y134" s="374"/>
      <c r="Z134" s="373"/>
      <c r="AA134" s="373"/>
      <c r="AB134" s="373"/>
      <c r="AC134" s="373"/>
      <c r="AD134" s="374"/>
      <c r="AE134" s="373"/>
      <c r="AF134" s="373"/>
      <c r="AG134" s="373"/>
      <c r="AH134" s="373"/>
      <c r="AI134" s="374"/>
      <c r="AJ134" s="373"/>
      <c r="AK134" s="373"/>
      <c r="AL134" s="373"/>
      <c r="AM134" s="373"/>
      <c r="AN134" s="374"/>
      <c r="AO134" s="373"/>
      <c r="AP134" s="373"/>
      <c r="AQ134" s="373"/>
      <c r="AR134" s="373"/>
      <c r="AS134" s="374"/>
      <c r="AT134" s="373"/>
      <c r="AU134" s="373"/>
      <c r="AV134" s="373"/>
      <c r="AW134" s="373"/>
      <c r="AX134" s="374"/>
      <c r="AY134" s="373"/>
      <c r="AZ134" s="373"/>
      <c r="BA134" s="373"/>
      <c r="BB134" s="373"/>
      <c r="BC134" s="374"/>
      <c r="BD134" s="373"/>
      <c r="BE134" s="373"/>
      <c r="BF134" s="373"/>
      <c r="BG134" s="373"/>
      <c r="BH134" s="374"/>
      <c r="BI134" s="373"/>
      <c r="BJ134" s="373"/>
      <c r="BK134" s="373"/>
      <c r="BL134" s="373"/>
      <c r="BM134" s="374"/>
      <c r="BN134" s="373"/>
      <c r="BO134" s="373"/>
      <c r="BP134" s="373"/>
      <c r="BQ134" s="373"/>
      <c r="BR134" s="374"/>
      <c r="BS134" s="373"/>
      <c r="BT134" s="373"/>
      <c r="BU134" s="373"/>
      <c r="BV134" s="373"/>
      <c r="BW134" s="9"/>
    </row>
    <row r="135" spans="4:75" ht="12.75" customHeight="1" x14ac:dyDescent="0.2">
      <c r="D135" s="9" t="s">
        <v>474</v>
      </c>
      <c r="E135" s="156"/>
      <c r="G135" s="373">
        <f>SUM(G136:G137)</f>
        <v>4924000</v>
      </c>
      <c r="H135" s="373"/>
      <c r="I135" s="373"/>
      <c r="J135" s="374"/>
      <c r="K135" s="373"/>
      <c r="L135" s="373">
        <f>SUM(L136:L137)</f>
        <v>0</v>
      </c>
      <c r="M135" s="373"/>
      <c r="N135" s="373"/>
      <c r="O135" s="374"/>
      <c r="P135" s="373"/>
      <c r="Q135" s="373">
        <f>SUM(Q136:Q137)</f>
        <v>4923900</v>
      </c>
      <c r="R135" s="373"/>
      <c r="S135" s="373"/>
      <c r="T135" s="374"/>
      <c r="U135" s="373"/>
      <c r="V135" s="373">
        <f>SUM(V136:V137)</f>
        <v>0</v>
      </c>
      <c r="W135" s="373"/>
      <c r="X135" s="373"/>
      <c r="Y135" s="374"/>
      <c r="Z135" s="373"/>
      <c r="AA135" s="373">
        <f>SUM(AA136:AA137)</f>
        <v>0</v>
      </c>
      <c r="AB135" s="373"/>
      <c r="AC135" s="373"/>
      <c r="AD135" s="374"/>
      <c r="AE135" s="373"/>
      <c r="AF135" s="373">
        <f>SUM(AF136:AF137)</f>
        <v>0</v>
      </c>
      <c r="AG135" s="373"/>
      <c r="AH135" s="373"/>
      <c r="AI135" s="374"/>
      <c r="AJ135" s="373"/>
      <c r="AK135" s="373">
        <f>SUM(AK136:AK137)</f>
        <v>0</v>
      </c>
      <c r="AL135" s="373"/>
      <c r="AM135" s="373"/>
      <c r="AN135" s="374"/>
      <c r="AO135" s="373"/>
      <c r="AP135" s="373">
        <f>SUM(AP136:AP137)</f>
        <v>0</v>
      </c>
      <c r="AQ135" s="373"/>
      <c r="AR135" s="373"/>
      <c r="AS135" s="374"/>
      <c r="AT135" s="373"/>
      <c r="AU135" s="373">
        <f>SUM(AU136:AU137)</f>
        <v>0</v>
      </c>
      <c r="AV135" s="373"/>
      <c r="AW135" s="373"/>
      <c r="AX135" s="374"/>
      <c r="AY135" s="373"/>
      <c r="AZ135" s="373">
        <f>SUM(AZ136:AZ137)</f>
        <v>0</v>
      </c>
      <c r="BA135" s="373"/>
      <c r="BB135" s="373"/>
      <c r="BC135" s="374"/>
      <c r="BD135" s="373"/>
      <c r="BE135" s="373">
        <f>SUM(BE136:BE137)</f>
        <v>0</v>
      </c>
      <c r="BF135" s="373"/>
      <c r="BG135" s="373"/>
      <c r="BH135" s="374"/>
      <c r="BI135" s="373"/>
      <c r="BJ135" s="373">
        <f>SUM(BJ136:BJ137)</f>
        <v>0</v>
      </c>
      <c r="BK135" s="373"/>
      <c r="BL135" s="373"/>
      <c r="BM135" s="374"/>
      <c r="BN135" s="373"/>
      <c r="BO135" s="373">
        <f>SUM(BO136:BO137)</f>
        <v>0</v>
      </c>
      <c r="BP135" s="373"/>
      <c r="BQ135" s="373"/>
      <c r="BR135" s="374"/>
      <c r="BS135" s="373"/>
      <c r="BT135" s="373">
        <f>SUM(BT136:BT137)</f>
        <v>4923900</v>
      </c>
      <c r="BU135" s="373"/>
      <c r="BV135" s="373"/>
      <c r="BW135" s="9"/>
    </row>
    <row r="136" spans="4:75" ht="12.75" customHeight="1" x14ac:dyDescent="0.2">
      <c r="D136" s="9" t="s">
        <v>466</v>
      </c>
      <c r="E136" s="156"/>
      <c r="F136" s="309"/>
      <c r="G136" s="371">
        <v>1961000</v>
      </c>
      <c r="H136" s="372"/>
      <c r="I136" s="373"/>
      <c r="J136" s="374"/>
      <c r="K136" s="309"/>
      <c r="L136" s="371">
        <v>0</v>
      </c>
      <c r="M136" s="372"/>
      <c r="N136" s="373"/>
      <c r="O136" s="374"/>
      <c r="P136" s="309"/>
      <c r="Q136" s="371">
        <v>1960784</v>
      </c>
      <c r="R136" s="372"/>
      <c r="S136" s="373"/>
      <c r="T136" s="374"/>
      <c r="U136" s="309"/>
      <c r="V136" s="371">
        <v>0</v>
      </c>
      <c r="W136" s="372"/>
      <c r="X136" s="373"/>
      <c r="Y136" s="374"/>
      <c r="Z136" s="309"/>
      <c r="AA136" s="371">
        <v>0</v>
      </c>
      <c r="AB136" s="372"/>
      <c r="AC136" s="373"/>
      <c r="AD136" s="374"/>
      <c r="AE136" s="309"/>
      <c r="AF136" s="371">
        <v>0</v>
      </c>
      <c r="AG136" s="372"/>
      <c r="AH136" s="373"/>
      <c r="AI136" s="374"/>
      <c r="AJ136" s="309"/>
      <c r="AK136" s="371">
        <v>0</v>
      </c>
      <c r="AL136" s="372"/>
      <c r="AM136" s="373"/>
      <c r="AN136" s="374"/>
      <c r="AO136" s="309"/>
      <c r="AP136" s="371">
        <v>0</v>
      </c>
      <c r="AQ136" s="372"/>
      <c r="AR136" s="373"/>
      <c r="AS136" s="374"/>
      <c r="AT136" s="309"/>
      <c r="AU136" s="371">
        <v>0</v>
      </c>
      <c r="AV136" s="372"/>
      <c r="AW136" s="373"/>
      <c r="AX136" s="374"/>
      <c r="AY136" s="309"/>
      <c r="AZ136" s="371">
        <v>0</v>
      </c>
      <c r="BA136" s="372"/>
      <c r="BB136" s="373"/>
      <c r="BC136" s="374"/>
      <c r="BD136" s="309"/>
      <c r="BE136" s="371">
        <v>0</v>
      </c>
      <c r="BF136" s="372"/>
      <c r="BG136" s="373"/>
      <c r="BH136" s="374"/>
      <c r="BI136" s="309"/>
      <c r="BJ136" s="371">
        <v>0</v>
      </c>
      <c r="BK136" s="372"/>
      <c r="BL136" s="373"/>
      <c r="BM136" s="374"/>
      <c r="BN136" s="309"/>
      <c r="BO136" s="371">
        <v>0</v>
      </c>
      <c r="BP136" s="372"/>
      <c r="BQ136" s="373"/>
      <c r="BR136" s="374"/>
      <c r="BS136" s="309"/>
      <c r="BT136" s="371">
        <f>SUM(L136:BO136)</f>
        <v>1960784</v>
      </c>
      <c r="BU136" s="372"/>
      <c r="BV136" s="373"/>
      <c r="BW136" s="9"/>
    </row>
    <row r="137" spans="4:75" ht="12.75" customHeight="1" x14ac:dyDescent="0.2">
      <c r="D137" s="9" t="s">
        <v>467</v>
      </c>
      <c r="E137" s="156"/>
      <c r="F137" s="320"/>
      <c r="G137" s="385">
        <v>2963000</v>
      </c>
      <c r="H137" s="386"/>
      <c r="I137" s="373"/>
      <c r="J137" s="374"/>
      <c r="K137" s="320"/>
      <c r="L137" s="385">
        <v>0</v>
      </c>
      <c r="M137" s="386"/>
      <c r="N137" s="373"/>
      <c r="O137" s="374"/>
      <c r="P137" s="320"/>
      <c r="Q137" s="385">
        <v>2963116</v>
      </c>
      <c r="R137" s="386"/>
      <c r="S137" s="373"/>
      <c r="T137" s="374"/>
      <c r="U137" s="320"/>
      <c r="V137" s="385">
        <v>0</v>
      </c>
      <c r="W137" s="386"/>
      <c r="X137" s="373"/>
      <c r="Y137" s="374"/>
      <c r="Z137" s="320"/>
      <c r="AA137" s="385">
        <v>0</v>
      </c>
      <c r="AB137" s="386"/>
      <c r="AC137" s="373"/>
      <c r="AD137" s="374"/>
      <c r="AE137" s="320"/>
      <c r="AF137" s="385">
        <v>0</v>
      </c>
      <c r="AG137" s="386"/>
      <c r="AH137" s="373"/>
      <c r="AI137" s="374"/>
      <c r="AJ137" s="320"/>
      <c r="AK137" s="385">
        <v>0</v>
      </c>
      <c r="AL137" s="386"/>
      <c r="AM137" s="373"/>
      <c r="AN137" s="374"/>
      <c r="AO137" s="320"/>
      <c r="AP137" s="385">
        <v>0</v>
      </c>
      <c r="AQ137" s="386"/>
      <c r="AR137" s="373"/>
      <c r="AS137" s="374"/>
      <c r="AT137" s="320"/>
      <c r="AU137" s="385">
        <v>0</v>
      </c>
      <c r="AV137" s="386"/>
      <c r="AW137" s="373"/>
      <c r="AX137" s="374"/>
      <c r="AY137" s="320"/>
      <c r="AZ137" s="385">
        <v>0</v>
      </c>
      <c r="BA137" s="386"/>
      <c r="BB137" s="373"/>
      <c r="BC137" s="374"/>
      <c r="BD137" s="320"/>
      <c r="BE137" s="385">
        <v>0</v>
      </c>
      <c r="BF137" s="386"/>
      <c r="BG137" s="373"/>
      <c r="BH137" s="374"/>
      <c r="BI137" s="320"/>
      <c r="BJ137" s="385">
        <v>0</v>
      </c>
      <c r="BK137" s="386"/>
      <c r="BL137" s="373"/>
      <c r="BM137" s="374"/>
      <c r="BN137" s="320"/>
      <c r="BO137" s="385">
        <v>0</v>
      </c>
      <c r="BP137" s="386"/>
      <c r="BQ137" s="373"/>
      <c r="BR137" s="374"/>
      <c r="BS137" s="320"/>
      <c r="BT137" s="385">
        <f>SUM(L137:BO137)</f>
        <v>2963116</v>
      </c>
      <c r="BU137" s="386"/>
      <c r="BV137" s="373"/>
      <c r="BW137" s="9"/>
    </row>
    <row r="138" spans="4:75" x14ac:dyDescent="0.2">
      <c r="D138" s="9"/>
      <c r="E138" s="156"/>
      <c r="G138" s="373"/>
      <c r="H138" s="373"/>
      <c r="I138" s="373"/>
      <c r="J138" s="374"/>
      <c r="K138" s="373"/>
      <c r="L138" s="373"/>
      <c r="M138" s="373"/>
      <c r="N138" s="373"/>
      <c r="O138" s="374"/>
      <c r="P138" s="373"/>
      <c r="Q138" s="373"/>
      <c r="R138" s="373"/>
      <c r="S138" s="373"/>
      <c r="T138" s="374"/>
      <c r="U138" s="373"/>
      <c r="V138" s="373"/>
      <c r="W138" s="373"/>
      <c r="X138" s="373"/>
      <c r="Y138" s="374"/>
      <c r="Z138" s="373"/>
      <c r="AA138" s="373"/>
      <c r="AB138" s="373"/>
      <c r="AC138" s="373"/>
      <c r="AD138" s="374"/>
      <c r="AE138" s="373"/>
      <c r="AF138" s="373"/>
      <c r="AG138" s="373"/>
      <c r="AH138" s="373"/>
      <c r="AI138" s="374"/>
      <c r="AJ138" s="373"/>
      <c r="AK138" s="373"/>
      <c r="AL138" s="373"/>
      <c r="AM138" s="373"/>
      <c r="AN138" s="374"/>
      <c r="AO138" s="373"/>
      <c r="AP138" s="373"/>
      <c r="AQ138" s="373"/>
      <c r="AR138" s="373"/>
      <c r="AS138" s="374"/>
      <c r="AT138" s="373"/>
      <c r="AU138" s="373"/>
      <c r="AV138" s="373"/>
      <c r="AW138" s="373"/>
      <c r="AX138" s="374"/>
      <c r="AY138" s="373"/>
      <c r="AZ138" s="373"/>
      <c r="BA138" s="373"/>
      <c r="BB138" s="373"/>
      <c r="BC138" s="374"/>
      <c r="BD138" s="373"/>
      <c r="BE138" s="373"/>
      <c r="BF138" s="373"/>
      <c r="BG138" s="373"/>
      <c r="BH138" s="374"/>
      <c r="BI138" s="373"/>
      <c r="BJ138" s="373"/>
      <c r="BK138" s="373"/>
      <c r="BL138" s="373"/>
      <c r="BM138" s="374"/>
      <c r="BN138" s="373"/>
      <c r="BO138" s="373"/>
      <c r="BP138" s="373"/>
      <c r="BQ138" s="373"/>
      <c r="BR138" s="374"/>
      <c r="BS138" s="373"/>
      <c r="BT138" s="373"/>
      <c r="BU138" s="373"/>
      <c r="BV138" s="373"/>
      <c r="BW138" s="9"/>
    </row>
    <row r="139" spans="4:75" x14ac:dyDescent="0.2">
      <c r="D139" s="9" t="s">
        <v>475</v>
      </c>
      <c r="E139" s="156"/>
      <c r="G139" s="373">
        <f>SUM(G140:G141)</f>
        <v>8700000</v>
      </c>
      <c r="H139" s="373"/>
      <c r="I139" s="373"/>
      <c r="J139" s="374"/>
      <c r="K139" s="373"/>
      <c r="L139" s="373">
        <f>SUM(L140:L141)</f>
        <v>0</v>
      </c>
      <c r="M139" s="373"/>
      <c r="N139" s="373"/>
      <c r="O139" s="374"/>
      <c r="P139" s="373"/>
      <c r="Q139" s="373">
        <f>SUM(Q140:Q141)</f>
        <v>0</v>
      </c>
      <c r="R139" s="373"/>
      <c r="S139" s="373"/>
      <c r="T139" s="374"/>
      <c r="U139" s="373"/>
      <c r="V139" s="373">
        <f>SUM(V140:V141)</f>
        <v>8699700</v>
      </c>
      <c r="W139" s="373"/>
      <c r="X139" s="373"/>
      <c r="Y139" s="374"/>
      <c r="Z139" s="373"/>
      <c r="AA139" s="373">
        <f>SUM(AA140:AA141)</f>
        <v>0</v>
      </c>
      <c r="AB139" s="373"/>
      <c r="AC139" s="373"/>
      <c r="AD139" s="374"/>
      <c r="AE139" s="373"/>
      <c r="AF139" s="373">
        <f>SUM(AF140:AF141)</f>
        <v>0</v>
      </c>
      <c r="AG139" s="373"/>
      <c r="AH139" s="373"/>
      <c r="AI139" s="374"/>
      <c r="AJ139" s="373"/>
      <c r="AK139" s="373">
        <f>SUM(AK140:AK141)</f>
        <v>0</v>
      </c>
      <c r="AL139" s="373"/>
      <c r="AM139" s="373"/>
      <c r="AN139" s="374"/>
      <c r="AO139" s="373"/>
      <c r="AP139" s="373">
        <f>SUM(AP140:AP141)</f>
        <v>0</v>
      </c>
      <c r="AQ139" s="373"/>
      <c r="AR139" s="373"/>
      <c r="AS139" s="374"/>
      <c r="AT139" s="373"/>
      <c r="AU139" s="373">
        <f>SUM(AU140:AU141)</f>
        <v>0</v>
      </c>
      <c r="AV139" s="373"/>
      <c r="AW139" s="373"/>
      <c r="AX139" s="374"/>
      <c r="AY139" s="373"/>
      <c r="AZ139" s="373">
        <f>SUM(AZ140:AZ141)</f>
        <v>0</v>
      </c>
      <c r="BA139" s="373"/>
      <c r="BB139" s="373"/>
      <c r="BC139" s="374"/>
      <c r="BD139" s="373"/>
      <c r="BE139" s="373">
        <f>SUM(BE140:BE141)</f>
        <v>0</v>
      </c>
      <c r="BF139" s="373"/>
      <c r="BG139" s="373"/>
      <c r="BH139" s="374"/>
      <c r="BI139" s="373"/>
      <c r="BJ139" s="373">
        <f>SUM(BJ140:BJ141)</f>
        <v>0</v>
      </c>
      <c r="BK139" s="373"/>
      <c r="BL139" s="373"/>
      <c r="BM139" s="374"/>
      <c r="BN139" s="373"/>
      <c r="BO139" s="373">
        <f>SUM(BO140:BO141)</f>
        <v>0</v>
      </c>
      <c r="BP139" s="373"/>
      <c r="BQ139" s="373"/>
      <c r="BR139" s="374"/>
      <c r="BS139" s="373"/>
      <c r="BT139" s="373">
        <f>SUM(BT140:BT141)</f>
        <v>8699700</v>
      </c>
      <c r="BU139" s="373"/>
      <c r="BV139" s="373"/>
      <c r="BW139" s="9"/>
    </row>
    <row r="140" spans="4:75" x14ac:dyDescent="0.2">
      <c r="D140" s="9" t="s">
        <v>466</v>
      </c>
      <c r="E140" s="156"/>
      <c r="F140" s="309"/>
      <c r="G140" s="371">
        <v>5604000</v>
      </c>
      <c r="H140" s="372"/>
      <c r="I140" s="373"/>
      <c r="J140" s="374"/>
      <c r="K140" s="309"/>
      <c r="L140" s="371">
        <v>0</v>
      </c>
      <c r="M140" s="372"/>
      <c r="N140" s="373"/>
      <c r="O140" s="374"/>
      <c r="P140" s="309"/>
      <c r="Q140" s="371">
        <v>0</v>
      </c>
      <c r="R140" s="372"/>
      <c r="S140" s="373"/>
      <c r="T140" s="374"/>
      <c r="U140" s="309"/>
      <c r="V140" s="371">
        <v>5604275</v>
      </c>
      <c r="W140" s="372"/>
      <c r="X140" s="373"/>
      <c r="Y140" s="374"/>
      <c r="Z140" s="309"/>
      <c r="AA140" s="371">
        <v>0</v>
      </c>
      <c r="AB140" s="372"/>
      <c r="AC140" s="373"/>
      <c r="AD140" s="374"/>
      <c r="AE140" s="309"/>
      <c r="AF140" s="371">
        <v>0</v>
      </c>
      <c r="AG140" s="372"/>
      <c r="AH140" s="373"/>
      <c r="AI140" s="374"/>
      <c r="AJ140" s="309"/>
      <c r="AK140" s="371">
        <v>0</v>
      </c>
      <c r="AL140" s="372"/>
      <c r="AM140" s="373"/>
      <c r="AN140" s="374"/>
      <c r="AO140" s="309"/>
      <c r="AP140" s="371">
        <v>0</v>
      </c>
      <c r="AQ140" s="372"/>
      <c r="AR140" s="373"/>
      <c r="AS140" s="374"/>
      <c r="AT140" s="309"/>
      <c r="AU140" s="371">
        <v>0</v>
      </c>
      <c r="AV140" s="372"/>
      <c r="AW140" s="373"/>
      <c r="AX140" s="374"/>
      <c r="AY140" s="309"/>
      <c r="AZ140" s="371">
        <v>0</v>
      </c>
      <c r="BA140" s="372"/>
      <c r="BB140" s="373"/>
      <c r="BC140" s="374"/>
      <c r="BD140" s="309"/>
      <c r="BE140" s="371">
        <v>0</v>
      </c>
      <c r="BF140" s="372"/>
      <c r="BG140" s="373"/>
      <c r="BH140" s="374"/>
      <c r="BI140" s="309"/>
      <c r="BJ140" s="371">
        <v>0</v>
      </c>
      <c r="BK140" s="372"/>
      <c r="BL140" s="373"/>
      <c r="BM140" s="374"/>
      <c r="BN140" s="309"/>
      <c r="BO140" s="371">
        <v>0</v>
      </c>
      <c r="BP140" s="372"/>
      <c r="BQ140" s="373"/>
      <c r="BR140" s="374"/>
      <c r="BS140" s="309"/>
      <c r="BT140" s="371">
        <f>SUM(L140:BO140)</f>
        <v>5604275</v>
      </c>
      <c r="BU140" s="372"/>
      <c r="BV140" s="373"/>
      <c r="BW140" s="9"/>
    </row>
    <row r="141" spans="4:75" x14ac:dyDescent="0.2">
      <c r="D141" s="9" t="s">
        <v>467</v>
      </c>
      <c r="E141" s="156"/>
      <c r="F141" s="320"/>
      <c r="G141" s="385">
        <v>3096000</v>
      </c>
      <c r="H141" s="386"/>
      <c r="I141" s="373"/>
      <c r="J141" s="374"/>
      <c r="K141" s="320"/>
      <c r="L141" s="385">
        <v>0</v>
      </c>
      <c r="M141" s="386"/>
      <c r="N141" s="373"/>
      <c r="O141" s="374"/>
      <c r="P141" s="320"/>
      <c r="Q141" s="385">
        <v>0</v>
      </c>
      <c r="R141" s="386"/>
      <c r="S141" s="373"/>
      <c r="T141" s="374"/>
      <c r="U141" s="320"/>
      <c r="V141" s="385">
        <v>3095425</v>
      </c>
      <c r="W141" s="386"/>
      <c r="X141" s="373"/>
      <c r="Y141" s="374"/>
      <c r="Z141" s="320"/>
      <c r="AA141" s="385">
        <v>0</v>
      </c>
      <c r="AB141" s="386"/>
      <c r="AC141" s="373"/>
      <c r="AD141" s="374"/>
      <c r="AE141" s="320"/>
      <c r="AF141" s="385">
        <v>0</v>
      </c>
      <c r="AG141" s="386"/>
      <c r="AH141" s="373"/>
      <c r="AI141" s="374"/>
      <c r="AJ141" s="320"/>
      <c r="AK141" s="385">
        <v>0</v>
      </c>
      <c r="AL141" s="386"/>
      <c r="AM141" s="373"/>
      <c r="AN141" s="374"/>
      <c r="AO141" s="320"/>
      <c r="AP141" s="385">
        <v>0</v>
      </c>
      <c r="AQ141" s="386"/>
      <c r="AR141" s="373"/>
      <c r="AS141" s="374"/>
      <c r="AT141" s="320"/>
      <c r="AU141" s="385">
        <v>0</v>
      </c>
      <c r="AV141" s="386"/>
      <c r="AW141" s="373"/>
      <c r="AX141" s="374"/>
      <c r="AY141" s="320"/>
      <c r="AZ141" s="385">
        <v>0</v>
      </c>
      <c r="BA141" s="386"/>
      <c r="BB141" s="373"/>
      <c r="BC141" s="374"/>
      <c r="BD141" s="320"/>
      <c r="BE141" s="385">
        <v>0</v>
      </c>
      <c r="BF141" s="386"/>
      <c r="BG141" s="373"/>
      <c r="BH141" s="374"/>
      <c r="BI141" s="320"/>
      <c r="BJ141" s="385">
        <v>0</v>
      </c>
      <c r="BK141" s="386"/>
      <c r="BL141" s="373"/>
      <c r="BM141" s="374"/>
      <c r="BN141" s="320"/>
      <c r="BO141" s="385">
        <v>0</v>
      </c>
      <c r="BP141" s="386"/>
      <c r="BQ141" s="373"/>
      <c r="BR141" s="374"/>
      <c r="BS141" s="320"/>
      <c r="BT141" s="385">
        <f>SUM(L141:BO141)</f>
        <v>3095425</v>
      </c>
      <c r="BU141" s="386"/>
      <c r="BV141" s="373"/>
      <c r="BW141" s="9"/>
    </row>
    <row r="142" spans="4:75" x14ac:dyDescent="0.2">
      <c r="D142" s="9"/>
      <c r="E142" s="156"/>
      <c r="G142" s="373"/>
      <c r="H142" s="373"/>
      <c r="I142" s="373"/>
      <c r="J142" s="374"/>
      <c r="L142" s="373"/>
      <c r="M142" s="373"/>
      <c r="N142" s="373"/>
      <c r="O142" s="374"/>
      <c r="Q142" s="373"/>
      <c r="R142" s="373"/>
      <c r="S142" s="373"/>
      <c r="T142" s="374"/>
      <c r="V142" s="373"/>
      <c r="W142" s="373"/>
      <c r="X142" s="373"/>
      <c r="Y142" s="374"/>
      <c r="AA142" s="373"/>
      <c r="AB142" s="373"/>
      <c r="AC142" s="373"/>
      <c r="AD142" s="374"/>
      <c r="AF142" s="373"/>
      <c r="AG142" s="373"/>
      <c r="AH142" s="373"/>
      <c r="AI142" s="374"/>
      <c r="AK142" s="373"/>
      <c r="AL142" s="373"/>
      <c r="AM142" s="373"/>
      <c r="AN142" s="374"/>
      <c r="AP142" s="373"/>
      <c r="AQ142" s="373"/>
      <c r="AR142" s="373"/>
      <c r="AS142" s="374"/>
      <c r="AU142" s="373"/>
      <c r="AV142" s="373"/>
      <c r="AW142" s="373"/>
      <c r="AX142" s="374"/>
      <c r="AZ142" s="373"/>
      <c r="BA142" s="373"/>
      <c r="BB142" s="373"/>
      <c r="BC142" s="374"/>
      <c r="BE142" s="373"/>
      <c r="BF142" s="373"/>
      <c r="BG142" s="373"/>
      <c r="BH142" s="374"/>
      <c r="BJ142" s="373"/>
      <c r="BK142" s="373"/>
      <c r="BL142" s="373"/>
      <c r="BM142" s="374"/>
      <c r="BO142" s="373"/>
      <c r="BP142" s="373"/>
      <c r="BQ142" s="373"/>
      <c r="BR142" s="374"/>
      <c r="BT142" s="373"/>
      <c r="BU142" s="373"/>
      <c r="BV142" s="373"/>
      <c r="BW142" s="9"/>
    </row>
    <row r="143" spans="4:75" x14ac:dyDescent="0.2">
      <c r="D143" s="9" t="s">
        <v>476</v>
      </c>
      <c r="E143" s="156"/>
      <c r="G143" s="373">
        <f>SUM(G144:G145)</f>
        <v>7000</v>
      </c>
      <c r="H143" s="373"/>
      <c r="I143" s="373"/>
      <c r="J143" s="374"/>
      <c r="K143" s="373"/>
      <c r="L143" s="373">
        <f>SUM(L144:L145)</f>
        <v>0</v>
      </c>
      <c r="M143" s="373"/>
      <c r="N143" s="373"/>
      <c r="O143" s="374"/>
      <c r="P143" s="373"/>
      <c r="Q143" s="373">
        <f>SUM(Q144:Q145)</f>
        <v>8086</v>
      </c>
      <c r="R143" s="373"/>
      <c r="S143" s="373"/>
      <c r="T143" s="374"/>
      <c r="U143" s="373"/>
      <c r="V143" s="373">
        <f>SUM(V144:V145)</f>
        <v>0</v>
      </c>
      <c r="W143" s="373"/>
      <c r="X143" s="373"/>
      <c r="Y143" s="374"/>
      <c r="Z143" s="373"/>
      <c r="AA143" s="373">
        <f>SUM(AA144:AA145)</f>
        <v>0</v>
      </c>
      <c r="AB143" s="373"/>
      <c r="AC143" s="373"/>
      <c r="AD143" s="374"/>
      <c r="AE143" s="373"/>
      <c r="AF143" s="373">
        <f>SUM(AF144:AF145)</f>
        <v>0</v>
      </c>
      <c r="AG143" s="373"/>
      <c r="AH143" s="373"/>
      <c r="AI143" s="374"/>
      <c r="AJ143" s="373"/>
      <c r="AK143" s="373">
        <f>SUM(AK144:AK145)</f>
        <v>0</v>
      </c>
      <c r="AL143" s="373"/>
      <c r="AM143" s="373"/>
      <c r="AN143" s="374"/>
      <c r="AO143" s="373"/>
      <c r="AP143" s="373">
        <f>SUM(AP144:AP145)</f>
        <v>0</v>
      </c>
      <c r="AQ143" s="373"/>
      <c r="AR143" s="373"/>
      <c r="AS143" s="374"/>
      <c r="AT143" s="373"/>
      <c r="AU143" s="373">
        <f>SUM(AU144:AU145)</f>
        <v>6967</v>
      </c>
      <c r="AV143" s="373"/>
      <c r="AW143" s="373"/>
      <c r="AX143" s="374"/>
      <c r="AY143" s="373"/>
      <c r="AZ143" s="373">
        <f>SUM(AZ144:AZ145)</f>
        <v>0</v>
      </c>
      <c r="BA143" s="373"/>
      <c r="BB143" s="373"/>
      <c r="BC143" s="374"/>
      <c r="BD143" s="373"/>
      <c r="BE143" s="373">
        <f>SUM(BE144:BE145)</f>
        <v>0</v>
      </c>
      <c r="BF143" s="373"/>
      <c r="BG143" s="373"/>
      <c r="BH143" s="374"/>
      <c r="BI143" s="373"/>
      <c r="BJ143" s="373">
        <f>SUM(BJ144:BJ145)</f>
        <v>0</v>
      </c>
      <c r="BK143" s="373"/>
      <c r="BL143" s="373"/>
      <c r="BM143" s="374"/>
      <c r="BN143" s="373"/>
      <c r="BO143" s="373">
        <f>SUM(BO144:BO145)</f>
        <v>0</v>
      </c>
      <c r="BP143" s="373"/>
      <c r="BQ143" s="373"/>
      <c r="BR143" s="374"/>
      <c r="BS143" s="373"/>
      <c r="BT143" s="373">
        <f>SUM(BT144:BT145)</f>
        <v>15053</v>
      </c>
      <c r="BU143" s="373"/>
      <c r="BV143" s="373"/>
      <c r="BW143" s="9"/>
    </row>
    <row r="144" spans="4:75" x14ac:dyDescent="0.2">
      <c r="D144" s="9" t="s">
        <v>466</v>
      </c>
      <c r="E144" s="156"/>
      <c r="F144" s="309"/>
      <c r="G144" s="371">
        <v>2000</v>
      </c>
      <c r="H144" s="372"/>
      <c r="I144" s="373"/>
      <c r="J144" s="374"/>
      <c r="K144" s="309"/>
      <c r="L144" s="371">
        <v>0</v>
      </c>
      <c r="M144" s="372"/>
      <c r="N144" s="373"/>
      <c r="O144" s="374"/>
      <c r="P144" s="309"/>
      <c r="Q144" s="371">
        <v>1939</v>
      </c>
      <c r="R144" s="372"/>
      <c r="S144" s="373"/>
      <c r="T144" s="374"/>
      <c r="U144" s="309"/>
      <c r="V144" s="371">
        <v>0</v>
      </c>
      <c r="W144" s="372"/>
      <c r="X144" s="373"/>
      <c r="Y144" s="374"/>
      <c r="Z144" s="309"/>
      <c r="AA144" s="371">
        <v>0</v>
      </c>
      <c r="AB144" s="372"/>
      <c r="AC144" s="373"/>
      <c r="AD144" s="374"/>
      <c r="AE144" s="309"/>
      <c r="AF144" s="371">
        <v>0</v>
      </c>
      <c r="AG144" s="372"/>
      <c r="AH144" s="373"/>
      <c r="AI144" s="374"/>
      <c r="AJ144" s="309"/>
      <c r="AK144" s="371">
        <v>0</v>
      </c>
      <c r="AL144" s="372"/>
      <c r="AM144" s="373"/>
      <c r="AN144" s="374"/>
      <c r="AO144" s="309"/>
      <c r="AP144" s="371">
        <v>0</v>
      </c>
      <c r="AQ144" s="372"/>
      <c r="AR144" s="373"/>
      <c r="AS144" s="374"/>
      <c r="AT144" s="309"/>
      <c r="AU144" s="371">
        <v>1940</v>
      </c>
      <c r="AV144" s="372"/>
      <c r="AW144" s="373"/>
      <c r="AX144" s="374"/>
      <c r="AY144" s="309"/>
      <c r="AZ144" s="371">
        <v>0</v>
      </c>
      <c r="BA144" s="372"/>
      <c r="BB144" s="373"/>
      <c r="BC144" s="374"/>
      <c r="BD144" s="309"/>
      <c r="BE144" s="371">
        <v>0</v>
      </c>
      <c r="BF144" s="372"/>
      <c r="BG144" s="373"/>
      <c r="BH144" s="374"/>
      <c r="BI144" s="309"/>
      <c r="BJ144" s="371">
        <v>0</v>
      </c>
      <c r="BK144" s="372"/>
      <c r="BL144" s="373"/>
      <c r="BM144" s="374"/>
      <c r="BN144" s="309"/>
      <c r="BO144" s="371">
        <v>0</v>
      </c>
      <c r="BP144" s="372"/>
      <c r="BQ144" s="373"/>
      <c r="BR144" s="374"/>
      <c r="BS144" s="309"/>
      <c r="BT144" s="371">
        <f>SUM(L144:BO144)</f>
        <v>3879</v>
      </c>
      <c r="BU144" s="372"/>
      <c r="BV144" s="373"/>
      <c r="BW144" s="9"/>
    </row>
    <row r="145" spans="4:78" x14ac:dyDescent="0.2">
      <c r="D145" s="9" t="s">
        <v>467</v>
      </c>
      <c r="E145" s="156"/>
      <c r="F145" s="320"/>
      <c r="G145" s="385">
        <v>5000</v>
      </c>
      <c r="H145" s="386"/>
      <c r="I145" s="373"/>
      <c r="J145" s="374"/>
      <c r="K145" s="320"/>
      <c r="L145" s="385">
        <v>0</v>
      </c>
      <c r="M145" s="386"/>
      <c r="N145" s="373"/>
      <c r="O145" s="374"/>
      <c r="P145" s="320"/>
      <c r="Q145" s="385">
        <v>6147</v>
      </c>
      <c r="R145" s="386"/>
      <c r="S145" s="373"/>
      <c r="T145" s="374"/>
      <c r="U145" s="320"/>
      <c r="V145" s="385">
        <v>0</v>
      </c>
      <c r="W145" s="386"/>
      <c r="X145" s="373"/>
      <c r="Y145" s="374"/>
      <c r="Z145" s="320"/>
      <c r="AA145" s="385">
        <v>0</v>
      </c>
      <c r="AB145" s="386"/>
      <c r="AC145" s="373"/>
      <c r="AD145" s="374"/>
      <c r="AE145" s="320"/>
      <c r="AF145" s="385">
        <v>0</v>
      </c>
      <c r="AG145" s="386"/>
      <c r="AH145" s="373"/>
      <c r="AI145" s="374"/>
      <c r="AJ145" s="320"/>
      <c r="AK145" s="385">
        <v>0</v>
      </c>
      <c r="AL145" s="386"/>
      <c r="AM145" s="373"/>
      <c r="AN145" s="374"/>
      <c r="AO145" s="320"/>
      <c r="AP145" s="385">
        <v>0</v>
      </c>
      <c r="AQ145" s="386"/>
      <c r="AR145" s="373"/>
      <c r="AS145" s="374"/>
      <c r="AT145" s="320"/>
      <c r="AU145" s="385">
        <v>5027</v>
      </c>
      <c r="AV145" s="386"/>
      <c r="AW145" s="373"/>
      <c r="AX145" s="374"/>
      <c r="AY145" s="320"/>
      <c r="AZ145" s="385">
        <v>0</v>
      </c>
      <c r="BA145" s="386"/>
      <c r="BB145" s="373"/>
      <c r="BC145" s="374"/>
      <c r="BD145" s="320"/>
      <c r="BE145" s="385">
        <v>0</v>
      </c>
      <c r="BF145" s="386"/>
      <c r="BG145" s="373"/>
      <c r="BH145" s="374"/>
      <c r="BI145" s="320"/>
      <c r="BJ145" s="385">
        <v>0</v>
      </c>
      <c r="BK145" s="386"/>
      <c r="BL145" s="373"/>
      <c r="BM145" s="374"/>
      <c r="BN145" s="320"/>
      <c r="BO145" s="385">
        <v>0</v>
      </c>
      <c r="BP145" s="386"/>
      <c r="BQ145" s="373"/>
      <c r="BR145" s="374"/>
      <c r="BS145" s="320"/>
      <c r="BT145" s="385">
        <f>SUM(L145:BO145)</f>
        <v>11174</v>
      </c>
      <c r="BU145" s="386"/>
      <c r="BV145" s="373"/>
      <c r="BW145" s="9"/>
    </row>
    <row r="146" spans="4:78" ht="12.75" hidden="1" customHeight="1" x14ac:dyDescent="0.2">
      <c r="D146" s="9"/>
      <c r="E146" s="156"/>
      <c r="G146" s="373"/>
      <c r="H146" s="373"/>
      <c r="I146" s="373"/>
      <c r="J146" s="374"/>
      <c r="K146" s="373"/>
      <c r="L146" s="373"/>
      <c r="M146" s="373"/>
      <c r="N146" s="373"/>
      <c r="O146" s="374"/>
      <c r="P146" s="373"/>
      <c r="Q146" s="373"/>
      <c r="R146" s="373"/>
      <c r="S146" s="373"/>
      <c r="T146" s="374"/>
      <c r="U146" s="373"/>
      <c r="V146" s="373"/>
      <c r="W146" s="373"/>
      <c r="X146" s="373"/>
      <c r="Y146" s="374"/>
      <c r="Z146" s="373"/>
      <c r="AA146" s="373"/>
      <c r="AB146" s="373"/>
      <c r="AC146" s="373"/>
      <c r="AD146" s="374"/>
      <c r="AE146" s="373"/>
      <c r="AF146" s="373"/>
      <c r="AG146" s="373"/>
      <c r="AH146" s="373"/>
      <c r="AI146" s="374"/>
      <c r="AJ146" s="373"/>
      <c r="AK146" s="373"/>
      <c r="AL146" s="373"/>
      <c r="AM146" s="373"/>
      <c r="AN146" s="374"/>
      <c r="AO146" s="373"/>
      <c r="AP146" s="373"/>
      <c r="AQ146" s="373"/>
      <c r="AR146" s="373"/>
      <c r="AS146" s="374"/>
      <c r="AT146" s="373"/>
      <c r="AU146" s="373"/>
      <c r="AV146" s="373"/>
      <c r="AW146" s="373"/>
      <c r="AX146" s="374"/>
      <c r="AY146" s="373"/>
      <c r="AZ146" s="373"/>
      <c r="BA146" s="373"/>
      <c r="BB146" s="373"/>
      <c r="BC146" s="374"/>
      <c r="BD146" s="373"/>
      <c r="BE146" s="373"/>
      <c r="BF146" s="373"/>
      <c r="BG146" s="373"/>
      <c r="BH146" s="374"/>
      <c r="BI146" s="373"/>
      <c r="BJ146" s="373"/>
      <c r="BK146" s="373"/>
      <c r="BL146" s="373"/>
      <c r="BM146" s="374"/>
      <c r="BN146" s="373"/>
      <c r="BO146" s="373"/>
      <c r="BP146" s="373"/>
      <c r="BQ146" s="373"/>
      <c r="BR146" s="374"/>
      <c r="BS146" s="373"/>
      <c r="BT146" s="373"/>
      <c r="BU146" s="373"/>
      <c r="BV146" s="373"/>
      <c r="BW146" s="9"/>
    </row>
    <row r="147" spans="4:78" ht="12.75" hidden="1" customHeight="1" x14ac:dyDescent="0.2">
      <c r="D147" s="9" t="s">
        <v>477</v>
      </c>
      <c r="E147" s="156"/>
      <c r="G147" s="373">
        <f>SUM(G148:G149)</f>
        <v>0</v>
      </c>
      <c r="H147" s="373"/>
      <c r="I147" s="373"/>
      <c r="J147" s="374"/>
      <c r="K147" s="373"/>
      <c r="L147" s="373">
        <f>SUM(L148:L149)</f>
        <v>0</v>
      </c>
      <c r="M147" s="373"/>
      <c r="N147" s="373"/>
      <c r="O147" s="374"/>
      <c r="P147" s="373"/>
      <c r="Q147" s="373">
        <f>SUM(Q148:Q149)</f>
        <v>0</v>
      </c>
      <c r="R147" s="373"/>
      <c r="S147" s="373"/>
      <c r="T147" s="374"/>
      <c r="U147" s="373"/>
      <c r="V147" s="373">
        <f>SUM(V148:V149)</f>
        <v>0</v>
      </c>
      <c r="W147" s="373"/>
      <c r="X147" s="373"/>
      <c r="Y147" s="374"/>
      <c r="Z147" s="373"/>
      <c r="AA147" s="373">
        <f>SUM(AA148:AA149)</f>
        <v>0</v>
      </c>
      <c r="AB147" s="373"/>
      <c r="AC147" s="373"/>
      <c r="AD147" s="374"/>
      <c r="AE147" s="373"/>
      <c r="AF147" s="373">
        <f>SUM(AF148:AF149)</f>
        <v>0</v>
      </c>
      <c r="AG147" s="373"/>
      <c r="AH147" s="373"/>
      <c r="AI147" s="374"/>
      <c r="AJ147" s="373"/>
      <c r="AK147" s="373">
        <f>SUM(AK148:AK149)</f>
        <v>0</v>
      </c>
      <c r="AL147" s="373"/>
      <c r="AM147" s="373"/>
      <c r="AN147" s="374"/>
      <c r="AO147" s="373"/>
      <c r="AP147" s="373">
        <f>SUM(AP148:AP149)</f>
        <v>0</v>
      </c>
      <c r="AQ147" s="373"/>
      <c r="AR147" s="373"/>
      <c r="AS147" s="374"/>
      <c r="AT147" s="373"/>
      <c r="AU147" s="373">
        <f>SUM(AU148:AU149)</f>
        <v>0</v>
      </c>
      <c r="AV147" s="373"/>
      <c r="AW147" s="373"/>
      <c r="AX147" s="374"/>
      <c r="AY147" s="373"/>
      <c r="AZ147" s="373">
        <f>SUM(AZ148:AZ149)</f>
        <v>0</v>
      </c>
      <c r="BA147" s="373"/>
      <c r="BB147" s="373"/>
      <c r="BC147" s="374"/>
      <c r="BD147" s="373"/>
      <c r="BE147" s="373">
        <f>SUM(BE148:BE149)</f>
        <v>0</v>
      </c>
      <c r="BF147" s="373"/>
      <c r="BG147" s="373"/>
      <c r="BH147" s="374"/>
      <c r="BI147" s="373"/>
      <c r="BJ147" s="373">
        <f>SUM(BJ148:BJ149)</f>
        <v>0</v>
      </c>
      <c r="BK147" s="373"/>
      <c r="BL147" s="373"/>
      <c r="BM147" s="374"/>
      <c r="BN147" s="373"/>
      <c r="BO147" s="373">
        <f>SUM(BO148:BO149)</f>
        <v>0</v>
      </c>
      <c r="BP147" s="373"/>
      <c r="BQ147" s="373"/>
      <c r="BR147" s="374"/>
      <c r="BS147" s="373"/>
      <c r="BT147" s="373">
        <f>SUM(BT148:BT149)</f>
        <v>0</v>
      </c>
      <c r="BU147" s="373"/>
      <c r="BV147" s="373"/>
      <c r="BW147" s="9"/>
    </row>
    <row r="148" spans="4:78" ht="12.75" hidden="1" customHeight="1" x14ac:dyDescent="0.2">
      <c r="D148" s="9" t="s">
        <v>466</v>
      </c>
      <c r="E148" s="156"/>
      <c r="F148" s="309"/>
      <c r="G148" s="371">
        <v>0</v>
      </c>
      <c r="H148" s="372"/>
      <c r="I148" s="373"/>
      <c r="J148" s="374"/>
      <c r="K148" s="375"/>
      <c r="L148" s="371">
        <v>0</v>
      </c>
      <c r="M148" s="372"/>
      <c r="N148" s="373"/>
      <c r="O148" s="374"/>
      <c r="P148" s="375"/>
      <c r="Q148" s="371">
        <v>0</v>
      </c>
      <c r="R148" s="372"/>
      <c r="S148" s="373"/>
      <c r="T148" s="374"/>
      <c r="U148" s="375"/>
      <c r="V148" s="371">
        <v>0</v>
      </c>
      <c r="W148" s="372"/>
      <c r="X148" s="373"/>
      <c r="Y148" s="374"/>
      <c r="Z148" s="375"/>
      <c r="AA148" s="371">
        <v>0</v>
      </c>
      <c r="AB148" s="372"/>
      <c r="AC148" s="373"/>
      <c r="AD148" s="374"/>
      <c r="AE148" s="375"/>
      <c r="AF148" s="371">
        <v>0</v>
      </c>
      <c r="AG148" s="372"/>
      <c r="AH148" s="373"/>
      <c r="AI148" s="374"/>
      <c r="AJ148" s="375"/>
      <c r="AK148" s="371">
        <v>0</v>
      </c>
      <c r="AL148" s="372"/>
      <c r="AM148" s="373"/>
      <c r="AN148" s="374"/>
      <c r="AO148" s="375"/>
      <c r="AP148" s="371">
        <v>0</v>
      </c>
      <c r="AQ148" s="372"/>
      <c r="AR148" s="373"/>
      <c r="AS148" s="374"/>
      <c r="AT148" s="375"/>
      <c r="AU148" s="371">
        <v>0</v>
      </c>
      <c r="AV148" s="372"/>
      <c r="AW148" s="373"/>
      <c r="AX148" s="374"/>
      <c r="AY148" s="375"/>
      <c r="AZ148" s="371">
        <v>0</v>
      </c>
      <c r="BA148" s="372"/>
      <c r="BB148" s="373"/>
      <c r="BC148" s="374"/>
      <c r="BD148" s="375"/>
      <c r="BE148" s="371">
        <v>0</v>
      </c>
      <c r="BF148" s="372"/>
      <c r="BG148" s="373"/>
      <c r="BH148" s="374"/>
      <c r="BI148" s="375"/>
      <c r="BJ148" s="371">
        <v>0</v>
      </c>
      <c r="BK148" s="372"/>
      <c r="BL148" s="373"/>
      <c r="BM148" s="374"/>
      <c r="BN148" s="375"/>
      <c r="BO148" s="371">
        <v>0</v>
      </c>
      <c r="BP148" s="372"/>
      <c r="BQ148" s="373"/>
      <c r="BR148" s="374"/>
      <c r="BS148" s="375"/>
      <c r="BT148" s="371">
        <f>SUM(L148:BO148)</f>
        <v>0</v>
      </c>
      <c r="BU148" s="372"/>
      <c r="BV148" s="373"/>
      <c r="BW148" s="9"/>
    </row>
    <row r="149" spans="4:78" ht="12.75" hidden="1" customHeight="1" x14ac:dyDescent="0.2">
      <c r="D149" s="9" t="s">
        <v>467</v>
      </c>
      <c r="E149" s="156"/>
      <c r="F149" s="320"/>
      <c r="G149" s="385">
        <v>0</v>
      </c>
      <c r="H149" s="386"/>
      <c r="I149" s="373"/>
      <c r="J149" s="374"/>
      <c r="K149" s="387"/>
      <c r="L149" s="385">
        <v>0</v>
      </c>
      <c r="M149" s="386"/>
      <c r="N149" s="373"/>
      <c r="O149" s="374"/>
      <c r="P149" s="387"/>
      <c r="Q149" s="385">
        <v>0</v>
      </c>
      <c r="R149" s="386"/>
      <c r="S149" s="373"/>
      <c r="T149" s="374"/>
      <c r="U149" s="387"/>
      <c r="V149" s="385">
        <v>0</v>
      </c>
      <c r="W149" s="386"/>
      <c r="X149" s="373"/>
      <c r="Y149" s="374"/>
      <c r="Z149" s="387"/>
      <c r="AA149" s="385">
        <v>0</v>
      </c>
      <c r="AB149" s="386"/>
      <c r="AC149" s="373"/>
      <c r="AD149" s="374"/>
      <c r="AE149" s="387"/>
      <c r="AF149" s="385">
        <v>0</v>
      </c>
      <c r="AG149" s="386"/>
      <c r="AH149" s="373"/>
      <c r="AI149" s="374"/>
      <c r="AJ149" s="387"/>
      <c r="AK149" s="385">
        <v>0</v>
      </c>
      <c r="AL149" s="386"/>
      <c r="AM149" s="373"/>
      <c r="AN149" s="374"/>
      <c r="AO149" s="387"/>
      <c r="AP149" s="385">
        <v>0</v>
      </c>
      <c r="AQ149" s="386"/>
      <c r="AR149" s="373"/>
      <c r="AS149" s="374"/>
      <c r="AT149" s="387"/>
      <c r="AU149" s="385">
        <v>0</v>
      </c>
      <c r="AV149" s="386"/>
      <c r="AW149" s="373"/>
      <c r="AX149" s="374"/>
      <c r="AY149" s="387"/>
      <c r="AZ149" s="385">
        <v>0</v>
      </c>
      <c r="BA149" s="386"/>
      <c r="BB149" s="373"/>
      <c r="BC149" s="374"/>
      <c r="BD149" s="387"/>
      <c r="BE149" s="385">
        <v>0</v>
      </c>
      <c r="BF149" s="386"/>
      <c r="BG149" s="373"/>
      <c r="BH149" s="374"/>
      <c r="BI149" s="387"/>
      <c r="BJ149" s="385">
        <v>0</v>
      </c>
      <c r="BK149" s="386"/>
      <c r="BL149" s="373"/>
      <c r="BM149" s="374"/>
      <c r="BN149" s="387"/>
      <c r="BO149" s="385">
        <v>0</v>
      </c>
      <c r="BP149" s="386"/>
      <c r="BQ149" s="373"/>
      <c r="BR149" s="374"/>
      <c r="BS149" s="387"/>
      <c r="BT149" s="385">
        <f>SUM(L149:BO149)</f>
        <v>0</v>
      </c>
      <c r="BU149" s="386"/>
      <c r="BV149" s="373"/>
      <c r="BW149" s="9"/>
    </row>
    <row r="150" spans="4:78" ht="12.75" hidden="1" customHeight="1" x14ac:dyDescent="0.2">
      <c r="D150" s="9"/>
      <c r="E150" s="156"/>
      <c r="G150" s="373"/>
      <c r="H150" s="373"/>
      <c r="I150" s="373"/>
      <c r="J150" s="374"/>
      <c r="K150" s="373"/>
      <c r="L150" s="373"/>
      <c r="M150" s="373"/>
      <c r="N150" s="373"/>
      <c r="O150" s="374"/>
      <c r="P150" s="373"/>
      <c r="Q150" s="373"/>
      <c r="R150" s="373"/>
      <c r="S150" s="373"/>
      <c r="T150" s="374"/>
      <c r="U150" s="373"/>
      <c r="V150" s="373"/>
      <c r="W150" s="373"/>
      <c r="X150" s="373"/>
      <c r="Y150" s="374"/>
      <c r="Z150" s="373"/>
      <c r="AA150" s="373"/>
      <c r="AB150" s="373"/>
      <c r="AC150" s="373"/>
      <c r="AD150" s="374"/>
      <c r="AE150" s="373"/>
      <c r="AF150" s="373"/>
      <c r="AG150" s="373"/>
      <c r="AH150" s="373"/>
      <c r="AI150" s="374"/>
      <c r="AJ150" s="373"/>
      <c r="AK150" s="373"/>
      <c r="AL150" s="373"/>
      <c r="AM150" s="373"/>
      <c r="AN150" s="374"/>
      <c r="AO150" s="373"/>
      <c r="AP150" s="373"/>
      <c r="AQ150" s="373"/>
      <c r="AR150" s="373"/>
      <c r="AS150" s="374"/>
      <c r="AT150" s="373"/>
      <c r="AU150" s="373"/>
      <c r="AV150" s="373"/>
      <c r="AW150" s="373"/>
      <c r="AX150" s="374"/>
      <c r="AY150" s="373"/>
      <c r="AZ150" s="373"/>
      <c r="BA150" s="373"/>
      <c r="BB150" s="373"/>
      <c r="BC150" s="374"/>
      <c r="BD150" s="373"/>
      <c r="BE150" s="373"/>
      <c r="BF150" s="373"/>
      <c r="BG150" s="373"/>
      <c r="BH150" s="374"/>
      <c r="BI150" s="373"/>
      <c r="BJ150" s="373"/>
      <c r="BK150" s="373"/>
      <c r="BL150" s="373"/>
      <c r="BM150" s="374"/>
      <c r="BN150" s="373"/>
      <c r="BO150" s="373"/>
      <c r="BP150" s="373"/>
      <c r="BQ150" s="373"/>
      <c r="BR150" s="374"/>
      <c r="BS150" s="373"/>
      <c r="BT150" s="373"/>
      <c r="BU150" s="373"/>
      <c r="BV150" s="373"/>
      <c r="BW150" s="9"/>
    </row>
    <row r="151" spans="4:78" ht="12.75" hidden="1" customHeight="1" x14ac:dyDescent="0.2">
      <c r="D151" s="9" t="s">
        <v>478</v>
      </c>
      <c r="E151" s="156"/>
      <c r="G151" s="373">
        <f>SUM(G152:G153)</f>
        <v>0</v>
      </c>
      <c r="H151" s="373"/>
      <c r="I151" s="373"/>
      <c r="J151" s="374"/>
      <c r="K151" s="373"/>
      <c r="L151" s="373">
        <f>SUM(L152:L153)</f>
        <v>0</v>
      </c>
      <c r="M151" s="373"/>
      <c r="N151" s="373"/>
      <c r="O151" s="374"/>
      <c r="P151" s="373"/>
      <c r="Q151" s="373">
        <f>SUM(Q152:Q153)</f>
        <v>0</v>
      </c>
      <c r="R151" s="373"/>
      <c r="S151" s="373"/>
      <c r="T151" s="374"/>
      <c r="U151" s="373"/>
      <c r="V151" s="373">
        <f>SUM(V152:V153)</f>
        <v>0</v>
      </c>
      <c r="W151" s="373"/>
      <c r="X151" s="373"/>
      <c r="Y151" s="374"/>
      <c r="Z151" s="373"/>
      <c r="AA151" s="373">
        <f>SUM(AA152:AA153)</f>
        <v>0</v>
      </c>
      <c r="AB151" s="373"/>
      <c r="AC151" s="373"/>
      <c r="AD151" s="374"/>
      <c r="AE151" s="373"/>
      <c r="AF151" s="373">
        <f>SUM(AF152:AF153)</f>
        <v>0</v>
      </c>
      <c r="AG151" s="373"/>
      <c r="AH151" s="373"/>
      <c r="AI151" s="374"/>
      <c r="AJ151" s="373"/>
      <c r="AK151" s="373">
        <f>SUM(AK152:AK153)</f>
        <v>0</v>
      </c>
      <c r="AL151" s="373"/>
      <c r="AM151" s="373"/>
      <c r="AN151" s="374"/>
      <c r="AO151" s="373"/>
      <c r="AP151" s="373">
        <f>SUM(AP152:AP153)</f>
        <v>0</v>
      </c>
      <c r="AQ151" s="373"/>
      <c r="AR151" s="373"/>
      <c r="AS151" s="374"/>
      <c r="AT151" s="373"/>
      <c r="AU151" s="373">
        <f>SUM(AU152:AU153)</f>
        <v>0</v>
      </c>
      <c r="AV151" s="373"/>
      <c r="AW151" s="373"/>
      <c r="AX151" s="374"/>
      <c r="AY151" s="373"/>
      <c r="AZ151" s="373">
        <f>SUM(AZ152:AZ153)</f>
        <v>0</v>
      </c>
      <c r="BA151" s="373"/>
      <c r="BB151" s="373"/>
      <c r="BC151" s="374"/>
      <c r="BD151" s="373"/>
      <c r="BE151" s="373">
        <f>SUM(BE152:BE153)</f>
        <v>0</v>
      </c>
      <c r="BF151" s="373"/>
      <c r="BG151" s="373"/>
      <c r="BH151" s="374"/>
      <c r="BI151" s="373"/>
      <c r="BJ151" s="373">
        <f>SUM(BJ152:BJ153)</f>
        <v>0</v>
      </c>
      <c r="BK151" s="373"/>
      <c r="BL151" s="373"/>
      <c r="BM151" s="374"/>
      <c r="BN151" s="373"/>
      <c r="BO151" s="373">
        <f>SUM(BO152:BO153)</f>
        <v>0</v>
      </c>
      <c r="BP151" s="373"/>
      <c r="BQ151" s="373"/>
      <c r="BR151" s="374"/>
      <c r="BS151" s="373"/>
      <c r="BT151" s="373">
        <f>SUM(BT152:BT153)</f>
        <v>0</v>
      </c>
      <c r="BU151" s="373"/>
      <c r="BV151" s="373"/>
      <c r="BW151" s="9"/>
    </row>
    <row r="152" spans="4:78" ht="12.75" hidden="1" customHeight="1" x14ac:dyDescent="0.2">
      <c r="D152" s="9" t="s">
        <v>466</v>
      </c>
      <c r="E152" s="156"/>
      <c r="F152" s="309"/>
      <c r="G152" s="371">
        <v>0</v>
      </c>
      <c r="H152" s="372"/>
      <c r="I152" s="373"/>
      <c r="J152" s="374"/>
      <c r="K152" s="375"/>
      <c r="L152" s="371">
        <v>0</v>
      </c>
      <c r="M152" s="372"/>
      <c r="N152" s="373"/>
      <c r="O152" s="374"/>
      <c r="P152" s="375"/>
      <c r="Q152" s="371">
        <v>0</v>
      </c>
      <c r="R152" s="372"/>
      <c r="S152" s="373"/>
      <c r="T152" s="374"/>
      <c r="U152" s="375"/>
      <c r="V152" s="371">
        <v>0</v>
      </c>
      <c r="W152" s="372"/>
      <c r="X152" s="373"/>
      <c r="Y152" s="374"/>
      <c r="Z152" s="375"/>
      <c r="AA152" s="371">
        <v>0</v>
      </c>
      <c r="AB152" s="372"/>
      <c r="AC152" s="373"/>
      <c r="AD152" s="374"/>
      <c r="AE152" s="375"/>
      <c r="AF152" s="371">
        <v>0</v>
      </c>
      <c r="AG152" s="372"/>
      <c r="AH152" s="373"/>
      <c r="AI152" s="374"/>
      <c r="AJ152" s="375"/>
      <c r="AK152" s="371">
        <v>0</v>
      </c>
      <c r="AL152" s="372"/>
      <c r="AM152" s="373"/>
      <c r="AN152" s="374"/>
      <c r="AO152" s="375"/>
      <c r="AP152" s="371">
        <v>0</v>
      </c>
      <c r="AQ152" s="372"/>
      <c r="AR152" s="373"/>
      <c r="AS152" s="374"/>
      <c r="AT152" s="375"/>
      <c r="AU152" s="371">
        <v>0</v>
      </c>
      <c r="AV152" s="372"/>
      <c r="AW152" s="373"/>
      <c r="AX152" s="374"/>
      <c r="AY152" s="375"/>
      <c r="AZ152" s="371">
        <v>0</v>
      </c>
      <c r="BA152" s="372"/>
      <c r="BB152" s="373"/>
      <c r="BC152" s="374"/>
      <c r="BD152" s="375"/>
      <c r="BE152" s="371">
        <v>0</v>
      </c>
      <c r="BF152" s="372"/>
      <c r="BG152" s="373"/>
      <c r="BH152" s="374"/>
      <c r="BI152" s="375"/>
      <c r="BJ152" s="371">
        <v>0</v>
      </c>
      <c r="BK152" s="372"/>
      <c r="BL152" s="373"/>
      <c r="BM152" s="374"/>
      <c r="BN152" s="375"/>
      <c r="BO152" s="371">
        <v>0</v>
      </c>
      <c r="BP152" s="372"/>
      <c r="BQ152" s="373"/>
      <c r="BR152" s="374"/>
      <c r="BS152" s="375"/>
      <c r="BT152" s="371">
        <f>SUM(L152:BO152)</f>
        <v>0</v>
      </c>
      <c r="BU152" s="372"/>
      <c r="BV152" s="373"/>
      <c r="BW152" s="9"/>
    </row>
    <row r="153" spans="4:78" ht="12.75" hidden="1" customHeight="1" x14ac:dyDescent="0.2">
      <c r="D153" s="9" t="s">
        <v>467</v>
      </c>
      <c r="E153" s="156"/>
      <c r="F153" s="320"/>
      <c r="G153" s="385">
        <v>0</v>
      </c>
      <c r="H153" s="386"/>
      <c r="I153" s="373"/>
      <c r="J153" s="374"/>
      <c r="K153" s="387"/>
      <c r="L153" s="385">
        <v>0</v>
      </c>
      <c r="M153" s="386"/>
      <c r="N153" s="373"/>
      <c r="O153" s="374"/>
      <c r="P153" s="387"/>
      <c r="Q153" s="385">
        <v>0</v>
      </c>
      <c r="R153" s="386"/>
      <c r="S153" s="373"/>
      <c r="T153" s="374"/>
      <c r="U153" s="387"/>
      <c r="V153" s="385">
        <v>0</v>
      </c>
      <c r="W153" s="386"/>
      <c r="X153" s="373"/>
      <c r="Y153" s="374"/>
      <c r="Z153" s="387"/>
      <c r="AA153" s="385">
        <v>0</v>
      </c>
      <c r="AB153" s="386"/>
      <c r="AC153" s="373"/>
      <c r="AD153" s="374"/>
      <c r="AE153" s="387"/>
      <c r="AF153" s="385">
        <v>0</v>
      </c>
      <c r="AG153" s="386"/>
      <c r="AH153" s="373"/>
      <c r="AI153" s="374"/>
      <c r="AJ153" s="387"/>
      <c r="AK153" s="385">
        <v>0</v>
      </c>
      <c r="AL153" s="386"/>
      <c r="AM153" s="373"/>
      <c r="AN153" s="374"/>
      <c r="AO153" s="387"/>
      <c r="AP153" s="385">
        <v>0</v>
      </c>
      <c r="AQ153" s="386"/>
      <c r="AR153" s="373"/>
      <c r="AS153" s="374"/>
      <c r="AT153" s="387"/>
      <c r="AU153" s="385">
        <v>0</v>
      </c>
      <c r="AV153" s="386"/>
      <c r="AW153" s="373"/>
      <c r="AX153" s="374"/>
      <c r="AY153" s="387"/>
      <c r="AZ153" s="385">
        <v>0</v>
      </c>
      <c r="BA153" s="386"/>
      <c r="BB153" s="373"/>
      <c r="BC153" s="374"/>
      <c r="BD153" s="387"/>
      <c r="BE153" s="385">
        <v>0</v>
      </c>
      <c r="BF153" s="386"/>
      <c r="BG153" s="373"/>
      <c r="BH153" s="374"/>
      <c r="BI153" s="387"/>
      <c r="BJ153" s="385">
        <v>0</v>
      </c>
      <c r="BK153" s="386"/>
      <c r="BL153" s="373"/>
      <c r="BM153" s="374"/>
      <c r="BN153" s="387"/>
      <c r="BO153" s="385">
        <v>0</v>
      </c>
      <c r="BP153" s="386"/>
      <c r="BQ153" s="373"/>
      <c r="BR153" s="374"/>
      <c r="BS153" s="387"/>
      <c r="BT153" s="385">
        <f>SUM(L153:BO153)</f>
        <v>0</v>
      </c>
      <c r="BU153" s="386"/>
      <c r="BV153" s="373"/>
      <c r="BW153" s="9"/>
    </row>
    <row r="154" spans="4:78" ht="12.75" hidden="1" customHeight="1" x14ac:dyDescent="0.2">
      <c r="D154" s="9"/>
      <c r="E154" s="156"/>
      <c r="G154" s="373"/>
      <c r="H154" s="373"/>
      <c r="I154" s="373"/>
      <c r="J154" s="374"/>
      <c r="K154" s="373"/>
      <c r="L154" s="373"/>
      <c r="M154" s="373"/>
      <c r="N154" s="373"/>
      <c r="O154" s="374"/>
      <c r="P154" s="373"/>
      <c r="Q154" s="373"/>
      <c r="R154" s="373"/>
      <c r="S154" s="373"/>
      <c r="T154" s="374"/>
      <c r="U154" s="373"/>
      <c r="V154" s="373"/>
      <c r="W154" s="373"/>
      <c r="X154" s="373"/>
      <c r="Y154" s="374"/>
      <c r="Z154" s="373"/>
      <c r="AA154" s="373"/>
      <c r="AB154" s="373"/>
      <c r="AC154" s="373"/>
      <c r="AD154" s="374"/>
      <c r="AE154" s="373"/>
      <c r="AF154" s="373"/>
      <c r="AG154" s="373"/>
      <c r="AH154" s="373"/>
      <c r="AI154" s="374"/>
      <c r="AJ154" s="373"/>
      <c r="AK154" s="373"/>
      <c r="AL154" s="373"/>
      <c r="AM154" s="373"/>
      <c r="AN154" s="374"/>
      <c r="AO154" s="373"/>
      <c r="AP154" s="373"/>
      <c r="AQ154" s="373"/>
      <c r="AR154" s="373"/>
      <c r="AS154" s="374"/>
      <c r="AT154" s="373"/>
      <c r="AU154" s="373"/>
      <c r="AV154" s="373"/>
      <c r="AW154" s="373"/>
      <c r="AX154" s="374"/>
      <c r="AY154" s="373"/>
      <c r="AZ154" s="373"/>
      <c r="BA154" s="373"/>
      <c r="BB154" s="373"/>
      <c r="BC154" s="374"/>
      <c r="BD154" s="373"/>
      <c r="BE154" s="373"/>
      <c r="BF154" s="373"/>
      <c r="BG154" s="373"/>
      <c r="BH154" s="374"/>
      <c r="BI154" s="373"/>
      <c r="BJ154" s="373"/>
      <c r="BK154" s="373"/>
      <c r="BL154" s="373"/>
      <c r="BM154" s="374"/>
      <c r="BN154" s="373"/>
      <c r="BO154" s="373"/>
      <c r="BP154" s="373"/>
      <c r="BQ154" s="373"/>
      <c r="BR154" s="374"/>
      <c r="BS154" s="373"/>
      <c r="BT154" s="373"/>
      <c r="BU154" s="373"/>
      <c r="BV154" s="373"/>
      <c r="BW154" s="9"/>
    </row>
    <row r="155" spans="4:78" s="10" customFormat="1" ht="12.75" hidden="1" customHeight="1" x14ac:dyDescent="0.2">
      <c r="D155" s="79" t="s">
        <v>479</v>
      </c>
      <c r="E155" s="145"/>
      <c r="G155" s="368">
        <f>SUM(G156:G157)</f>
        <v>0</v>
      </c>
      <c r="H155" s="368"/>
      <c r="I155" s="368"/>
      <c r="J155" s="369"/>
      <c r="K155" s="368"/>
      <c r="L155" s="368">
        <f>SUM(L156:L157)</f>
        <v>0</v>
      </c>
      <c r="M155" s="368"/>
      <c r="N155" s="368"/>
      <c r="O155" s="369"/>
      <c r="P155" s="368"/>
      <c r="Q155" s="368">
        <f>SUM(Q156:Q157)</f>
        <v>0</v>
      </c>
      <c r="R155" s="368"/>
      <c r="S155" s="368"/>
      <c r="T155" s="369"/>
      <c r="U155" s="368"/>
      <c r="V155" s="368">
        <f>SUM(V156:V157)</f>
        <v>0</v>
      </c>
      <c r="W155" s="368"/>
      <c r="X155" s="368"/>
      <c r="Y155" s="369"/>
      <c r="Z155" s="368"/>
      <c r="AA155" s="368">
        <f>SUM(AA156:AA157)</f>
        <v>0</v>
      </c>
      <c r="AB155" s="368"/>
      <c r="AC155" s="368"/>
      <c r="AD155" s="369"/>
      <c r="AE155" s="368"/>
      <c r="AF155" s="368">
        <f>SUM(AF156:AF157)</f>
        <v>0</v>
      </c>
      <c r="AG155" s="368"/>
      <c r="AH155" s="368"/>
      <c r="AI155" s="369"/>
      <c r="AJ155" s="368"/>
      <c r="AK155" s="368">
        <f>SUM(AK156:AK157)</f>
        <v>0</v>
      </c>
      <c r="AL155" s="368"/>
      <c r="AM155" s="368"/>
      <c r="AN155" s="369"/>
      <c r="AO155" s="368"/>
      <c r="AP155" s="368">
        <f>SUM(AP156:AP157)</f>
        <v>0</v>
      </c>
      <c r="AQ155" s="368"/>
      <c r="AR155" s="368"/>
      <c r="AS155" s="369"/>
      <c r="AT155" s="368"/>
      <c r="AU155" s="368">
        <f>SUM(AU156:AU157)</f>
        <v>0</v>
      </c>
      <c r="AV155" s="368"/>
      <c r="AW155" s="368"/>
      <c r="AX155" s="369"/>
      <c r="AY155" s="368"/>
      <c r="AZ155" s="368">
        <f>SUM(AZ156:AZ157)</f>
        <v>0</v>
      </c>
      <c r="BA155" s="368"/>
      <c r="BB155" s="368"/>
      <c r="BC155" s="369"/>
      <c r="BD155" s="368"/>
      <c r="BE155" s="368">
        <f>SUM(BE156:BE157)</f>
        <v>0</v>
      </c>
      <c r="BF155" s="368"/>
      <c r="BG155" s="368"/>
      <c r="BH155" s="369"/>
      <c r="BI155" s="368"/>
      <c r="BJ155" s="368">
        <f>SUM(BJ156:BJ157)</f>
        <v>0</v>
      </c>
      <c r="BK155" s="368"/>
      <c r="BL155" s="368"/>
      <c r="BM155" s="369"/>
      <c r="BN155" s="368"/>
      <c r="BO155" s="368">
        <f>SUM(BO156:BO157)</f>
        <v>0</v>
      </c>
      <c r="BP155" s="368"/>
      <c r="BQ155" s="368"/>
      <c r="BR155" s="369"/>
      <c r="BS155" s="368"/>
      <c r="BT155" s="368">
        <f>SUM(BT156:BT157)</f>
        <v>0</v>
      </c>
      <c r="BU155" s="368"/>
      <c r="BV155" s="368"/>
      <c r="BW155" s="79"/>
      <c r="BY155" s="1"/>
      <c r="BZ155" s="1"/>
    </row>
    <row r="156" spans="4:78" ht="12.75" hidden="1" customHeight="1" x14ac:dyDescent="0.2">
      <c r="D156" s="9" t="s">
        <v>466</v>
      </c>
      <c r="E156" s="156"/>
      <c r="F156" s="309"/>
      <c r="G156" s="371">
        <v>0</v>
      </c>
      <c r="H156" s="372"/>
      <c r="I156" s="373"/>
      <c r="J156" s="374"/>
      <c r="K156" s="375"/>
      <c r="L156" s="371">
        <f>L160+L164</f>
        <v>0</v>
      </c>
      <c r="M156" s="372"/>
      <c r="N156" s="373"/>
      <c r="O156" s="374"/>
      <c r="P156" s="375"/>
      <c r="Q156" s="371">
        <f>Q160+Q164</f>
        <v>0</v>
      </c>
      <c r="R156" s="372"/>
      <c r="S156" s="373"/>
      <c r="T156" s="374"/>
      <c r="U156" s="375"/>
      <c r="V156" s="371">
        <f>V160+V164</f>
        <v>0</v>
      </c>
      <c r="W156" s="372"/>
      <c r="X156" s="373"/>
      <c r="Y156" s="374"/>
      <c r="Z156" s="375"/>
      <c r="AA156" s="371">
        <f>AA160+AA164</f>
        <v>0</v>
      </c>
      <c r="AB156" s="372"/>
      <c r="AC156" s="373"/>
      <c r="AD156" s="374"/>
      <c r="AE156" s="375"/>
      <c r="AF156" s="371">
        <f>AF160+AF164</f>
        <v>0</v>
      </c>
      <c r="AG156" s="372"/>
      <c r="AH156" s="373"/>
      <c r="AI156" s="374"/>
      <c r="AJ156" s="375"/>
      <c r="AK156" s="371">
        <f>AK160+AK164</f>
        <v>0</v>
      </c>
      <c r="AL156" s="372"/>
      <c r="AM156" s="373"/>
      <c r="AN156" s="374"/>
      <c r="AO156" s="375"/>
      <c r="AP156" s="371">
        <v>0</v>
      </c>
      <c r="AQ156" s="372"/>
      <c r="AR156" s="373"/>
      <c r="AS156" s="374"/>
      <c r="AT156" s="375"/>
      <c r="AU156" s="371">
        <f>AU160+AU164</f>
        <v>0</v>
      </c>
      <c r="AV156" s="372"/>
      <c r="AW156" s="373"/>
      <c r="AX156" s="374"/>
      <c r="AY156" s="375"/>
      <c r="AZ156" s="371">
        <f>AZ160+AZ164</f>
        <v>0</v>
      </c>
      <c r="BA156" s="372"/>
      <c r="BB156" s="373"/>
      <c r="BC156" s="374"/>
      <c r="BD156" s="375"/>
      <c r="BE156" s="371">
        <f>BE160+BE164</f>
        <v>0</v>
      </c>
      <c r="BF156" s="372"/>
      <c r="BG156" s="373"/>
      <c r="BH156" s="374"/>
      <c r="BI156" s="375"/>
      <c r="BJ156" s="371">
        <f>BJ160+BJ164</f>
        <v>0</v>
      </c>
      <c r="BK156" s="372"/>
      <c r="BL156" s="373"/>
      <c r="BM156" s="374"/>
      <c r="BN156" s="375"/>
      <c r="BO156" s="371">
        <f>BO160+BO164</f>
        <v>0</v>
      </c>
      <c r="BP156" s="372"/>
      <c r="BQ156" s="373"/>
      <c r="BR156" s="374"/>
      <c r="BS156" s="375"/>
      <c r="BT156" s="371">
        <f>BT160+BT164</f>
        <v>0</v>
      </c>
      <c r="BU156" s="372"/>
      <c r="BV156" s="373"/>
      <c r="BW156" s="9"/>
    </row>
    <row r="157" spans="4:78" ht="12.75" hidden="1" customHeight="1" x14ac:dyDescent="0.2">
      <c r="D157" s="9" t="s">
        <v>467</v>
      </c>
      <c r="E157" s="156"/>
      <c r="F157" s="320"/>
      <c r="G157" s="385">
        <v>0</v>
      </c>
      <c r="H157" s="386"/>
      <c r="I157" s="373"/>
      <c r="J157" s="374"/>
      <c r="K157" s="387"/>
      <c r="L157" s="385">
        <f>L161+L165</f>
        <v>0</v>
      </c>
      <c r="M157" s="386"/>
      <c r="N157" s="373"/>
      <c r="O157" s="374"/>
      <c r="P157" s="387"/>
      <c r="Q157" s="385">
        <f>Q161+Q165</f>
        <v>0</v>
      </c>
      <c r="R157" s="386"/>
      <c r="S157" s="373"/>
      <c r="T157" s="374"/>
      <c r="U157" s="387"/>
      <c r="V157" s="385">
        <f>V161+V165</f>
        <v>0</v>
      </c>
      <c r="W157" s="386"/>
      <c r="X157" s="373"/>
      <c r="Y157" s="374"/>
      <c r="Z157" s="387"/>
      <c r="AA157" s="385">
        <f>AA161+AA165</f>
        <v>0</v>
      </c>
      <c r="AB157" s="386"/>
      <c r="AC157" s="373"/>
      <c r="AD157" s="374"/>
      <c r="AE157" s="387"/>
      <c r="AF157" s="385">
        <f>AF161+AF165</f>
        <v>0</v>
      </c>
      <c r="AG157" s="386"/>
      <c r="AH157" s="373"/>
      <c r="AI157" s="374"/>
      <c r="AJ157" s="387"/>
      <c r="AK157" s="385">
        <f>AK161+AK165</f>
        <v>0</v>
      </c>
      <c r="AL157" s="386"/>
      <c r="AM157" s="373"/>
      <c r="AN157" s="374"/>
      <c r="AO157" s="387"/>
      <c r="AP157" s="385">
        <v>0</v>
      </c>
      <c r="AQ157" s="386"/>
      <c r="AR157" s="373"/>
      <c r="AS157" s="374"/>
      <c r="AT157" s="387"/>
      <c r="AU157" s="385">
        <f>AU161+AU165</f>
        <v>0</v>
      </c>
      <c r="AV157" s="386"/>
      <c r="AW157" s="373"/>
      <c r="AX157" s="374"/>
      <c r="AY157" s="387"/>
      <c r="AZ157" s="385">
        <f>AZ161+AZ165</f>
        <v>0</v>
      </c>
      <c r="BA157" s="386"/>
      <c r="BB157" s="373"/>
      <c r="BC157" s="374"/>
      <c r="BD157" s="387"/>
      <c r="BE157" s="385">
        <f>BE161+BE165</f>
        <v>0</v>
      </c>
      <c r="BF157" s="386"/>
      <c r="BG157" s="373"/>
      <c r="BH157" s="374"/>
      <c r="BI157" s="387"/>
      <c r="BJ157" s="385">
        <f>BJ161+BJ165</f>
        <v>0</v>
      </c>
      <c r="BK157" s="386"/>
      <c r="BL157" s="373"/>
      <c r="BM157" s="374"/>
      <c r="BN157" s="387"/>
      <c r="BO157" s="385">
        <f>BO161+BO165</f>
        <v>0</v>
      </c>
      <c r="BP157" s="386"/>
      <c r="BQ157" s="373"/>
      <c r="BR157" s="374"/>
      <c r="BS157" s="387"/>
      <c r="BT157" s="385">
        <f>BT161+BT165</f>
        <v>0</v>
      </c>
      <c r="BU157" s="386"/>
      <c r="BV157" s="373"/>
      <c r="BW157" s="9"/>
    </row>
    <row r="158" spans="4:78" ht="12.75" hidden="1" customHeight="1" x14ac:dyDescent="0.2">
      <c r="D158" s="9"/>
      <c r="E158" s="156"/>
      <c r="G158" s="373"/>
      <c r="H158" s="373"/>
      <c r="I158" s="373"/>
      <c r="J158" s="374"/>
      <c r="K158" s="373"/>
      <c r="L158" s="373"/>
      <c r="M158" s="373"/>
      <c r="N158" s="373"/>
      <c r="O158" s="374"/>
      <c r="P158" s="373"/>
      <c r="Q158" s="373"/>
      <c r="R158" s="373"/>
      <c r="S158" s="373"/>
      <c r="T158" s="374"/>
      <c r="U158" s="373"/>
      <c r="V158" s="373"/>
      <c r="W158" s="373"/>
      <c r="X158" s="373"/>
      <c r="Y158" s="374"/>
      <c r="Z158" s="373"/>
      <c r="AA158" s="373"/>
      <c r="AB158" s="373"/>
      <c r="AC158" s="373"/>
      <c r="AD158" s="374"/>
      <c r="AE158" s="373"/>
      <c r="AF158" s="373"/>
      <c r="AG158" s="373"/>
      <c r="AH158" s="373"/>
      <c r="AI158" s="374"/>
      <c r="AJ158" s="373"/>
      <c r="AK158" s="373"/>
      <c r="AL158" s="373"/>
      <c r="AM158" s="373"/>
      <c r="AN158" s="374"/>
      <c r="AO158" s="373"/>
      <c r="AP158" s="373"/>
      <c r="AQ158" s="373"/>
      <c r="AR158" s="373"/>
      <c r="AS158" s="374"/>
      <c r="AT158" s="373"/>
      <c r="AU158" s="373"/>
      <c r="AV158" s="373"/>
      <c r="AW158" s="373"/>
      <c r="AX158" s="374"/>
      <c r="AY158" s="373"/>
      <c r="AZ158" s="373"/>
      <c r="BA158" s="373"/>
      <c r="BB158" s="373"/>
      <c r="BC158" s="374"/>
      <c r="BD158" s="373"/>
      <c r="BE158" s="373"/>
      <c r="BF158" s="373"/>
      <c r="BG158" s="373"/>
      <c r="BH158" s="374"/>
      <c r="BI158" s="373"/>
      <c r="BJ158" s="373"/>
      <c r="BK158" s="373"/>
      <c r="BL158" s="373"/>
      <c r="BM158" s="374"/>
      <c r="BN158" s="373"/>
      <c r="BO158" s="373"/>
      <c r="BP158" s="373"/>
      <c r="BQ158" s="373"/>
      <c r="BR158" s="374"/>
      <c r="BS158" s="373"/>
      <c r="BT158" s="373"/>
      <c r="BU158" s="373"/>
      <c r="BV158" s="373"/>
      <c r="BW158" s="9"/>
    </row>
    <row r="159" spans="4:78" ht="12.75" hidden="1" customHeight="1" x14ac:dyDescent="0.2">
      <c r="D159" s="9" t="s">
        <v>480</v>
      </c>
      <c r="E159" s="156"/>
      <c r="G159" s="373">
        <v>0</v>
      </c>
      <c r="H159" s="373"/>
      <c r="I159" s="373"/>
      <c r="J159" s="374"/>
      <c r="K159" s="373"/>
      <c r="L159" s="373">
        <f>SUM(L160:L161)</f>
        <v>0</v>
      </c>
      <c r="M159" s="373"/>
      <c r="N159" s="373"/>
      <c r="O159" s="374"/>
      <c r="P159" s="373"/>
      <c r="Q159" s="373">
        <f>SUM(Q160:Q161)</f>
        <v>0</v>
      </c>
      <c r="R159" s="373"/>
      <c r="S159" s="373"/>
      <c r="T159" s="374"/>
      <c r="U159" s="373"/>
      <c r="V159" s="373">
        <f>SUM(V160:V161)</f>
        <v>0</v>
      </c>
      <c r="W159" s="373"/>
      <c r="X159" s="373"/>
      <c r="Y159" s="374"/>
      <c r="Z159" s="373"/>
      <c r="AA159" s="373">
        <f>SUM(AA160:AA161)</f>
        <v>0</v>
      </c>
      <c r="AB159" s="373"/>
      <c r="AC159" s="373"/>
      <c r="AD159" s="374"/>
      <c r="AE159" s="373"/>
      <c r="AF159" s="373">
        <f>SUM(AF160:AF161)</f>
        <v>0</v>
      </c>
      <c r="AG159" s="373"/>
      <c r="AH159" s="373"/>
      <c r="AI159" s="374"/>
      <c r="AJ159" s="373"/>
      <c r="AK159" s="373">
        <f>SUM(AK160:AK161)</f>
        <v>0</v>
      </c>
      <c r="AL159" s="373"/>
      <c r="AM159" s="373"/>
      <c r="AN159" s="374"/>
      <c r="AO159" s="373"/>
      <c r="AP159" s="373">
        <f>SUM(AP160:AP161)</f>
        <v>0</v>
      </c>
      <c r="AQ159" s="373"/>
      <c r="AR159" s="373"/>
      <c r="AS159" s="374"/>
      <c r="AT159" s="373"/>
      <c r="AU159" s="373">
        <f>SUM(AU160:AU161)</f>
        <v>0</v>
      </c>
      <c r="AV159" s="373"/>
      <c r="AW159" s="373"/>
      <c r="AX159" s="374"/>
      <c r="AY159" s="373"/>
      <c r="AZ159" s="373">
        <f>SUM(AZ160:AZ161)</f>
        <v>0</v>
      </c>
      <c r="BA159" s="373"/>
      <c r="BB159" s="373"/>
      <c r="BC159" s="374"/>
      <c r="BD159" s="373"/>
      <c r="BE159" s="373">
        <f>SUM(BE160:BE161)</f>
        <v>0</v>
      </c>
      <c r="BF159" s="373"/>
      <c r="BG159" s="373"/>
      <c r="BH159" s="374"/>
      <c r="BI159" s="373"/>
      <c r="BJ159" s="373">
        <f>SUM(BJ160:BJ161)</f>
        <v>0</v>
      </c>
      <c r="BK159" s="373"/>
      <c r="BL159" s="373"/>
      <c r="BM159" s="374"/>
      <c r="BN159" s="373"/>
      <c r="BO159" s="373">
        <f>SUM(BO160:BO161)</f>
        <v>0</v>
      </c>
      <c r="BP159" s="373"/>
      <c r="BQ159" s="373"/>
      <c r="BR159" s="374"/>
      <c r="BS159" s="373"/>
      <c r="BT159" s="373">
        <f>SUM(BT160:BT161)</f>
        <v>0</v>
      </c>
      <c r="BU159" s="373"/>
      <c r="BV159" s="373"/>
      <c r="BW159" s="9"/>
    </row>
    <row r="160" spans="4:78" ht="12.75" hidden="1" customHeight="1" x14ac:dyDescent="0.2">
      <c r="D160" s="9" t="s">
        <v>466</v>
      </c>
      <c r="E160" s="156"/>
      <c r="F160" s="309"/>
      <c r="G160" s="371">
        <v>0</v>
      </c>
      <c r="H160" s="372"/>
      <c r="I160" s="373"/>
      <c r="J160" s="374"/>
      <c r="K160" s="375"/>
      <c r="L160" s="371">
        <v>0</v>
      </c>
      <c r="M160" s="372"/>
      <c r="N160" s="373"/>
      <c r="O160" s="374"/>
      <c r="P160" s="375"/>
      <c r="Q160" s="371">
        <v>0</v>
      </c>
      <c r="R160" s="372"/>
      <c r="S160" s="373"/>
      <c r="T160" s="374"/>
      <c r="U160" s="375"/>
      <c r="V160" s="371">
        <v>0</v>
      </c>
      <c r="W160" s="372"/>
      <c r="X160" s="373"/>
      <c r="Y160" s="374"/>
      <c r="Z160" s="375"/>
      <c r="AA160" s="371">
        <v>0</v>
      </c>
      <c r="AB160" s="372"/>
      <c r="AC160" s="373"/>
      <c r="AD160" s="374"/>
      <c r="AE160" s="375"/>
      <c r="AF160" s="371">
        <v>0</v>
      </c>
      <c r="AG160" s="372"/>
      <c r="AH160" s="373"/>
      <c r="AI160" s="374"/>
      <c r="AJ160" s="375"/>
      <c r="AK160" s="371">
        <v>0</v>
      </c>
      <c r="AL160" s="372"/>
      <c r="AM160" s="373"/>
      <c r="AN160" s="374"/>
      <c r="AO160" s="375"/>
      <c r="AP160" s="371">
        <v>0</v>
      </c>
      <c r="AQ160" s="372"/>
      <c r="AR160" s="373"/>
      <c r="AS160" s="374"/>
      <c r="AT160" s="375"/>
      <c r="AU160" s="371">
        <v>0</v>
      </c>
      <c r="AV160" s="372"/>
      <c r="AW160" s="373"/>
      <c r="AX160" s="374"/>
      <c r="AY160" s="375"/>
      <c r="AZ160" s="371">
        <v>0</v>
      </c>
      <c r="BA160" s="372"/>
      <c r="BB160" s="373"/>
      <c r="BC160" s="374"/>
      <c r="BD160" s="375"/>
      <c r="BE160" s="371">
        <v>0</v>
      </c>
      <c r="BF160" s="372"/>
      <c r="BG160" s="373"/>
      <c r="BH160" s="374"/>
      <c r="BI160" s="375"/>
      <c r="BJ160" s="371">
        <v>0</v>
      </c>
      <c r="BK160" s="372"/>
      <c r="BL160" s="373"/>
      <c r="BM160" s="374"/>
      <c r="BN160" s="375"/>
      <c r="BO160" s="371">
        <v>0</v>
      </c>
      <c r="BP160" s="372"/>
      <c r="BQ160" s="373"/>
      <c r="BR160" s="374"/>
      <c r="BS160" s="375"/>
      <c r="BT160" s="371">
        <f>SUM(L160:BO160)</f>
        <v>0</v>
      </c>
      <c r="BU160" s="372"/>
      <c r="BV160" s="373"/>
      <c r="BW160" s="9"/>
    </row>
    <row r="161" spans="4:78" ht="12.75" hidden="1" customHeight="1" x14ac:dyDescent="0.2">
      <c r="D161" s="9" t="s">
        <v>467</v>
      </c>
      <c r="E161" s="156"/>
      <c r="F161" s="320"/>
      <c r="G161" s="385">
        <v>0</v>
      </c>
      <c r="H161" s="386"/>
      <c r="I161" s="373"/>
      <c r="J161" s="374"/>
      <c r="K161" s="387"/>
      <c r="L161" s="385">
        <v>0</v>
      </c>
      <c r="M161" s="386"/>
      <c r="N161" s="373"/>
      <c r="O161" s="374"/>
      <c r="P161" s="387"/>
      <c r="Q161" s="385">
        <v>0</v>
      </c>
      <c r="R161" s="386"/>
      <c r="S161" s="373"/>
      <c r="T161" s="374"/>
      <c r="U161" s="387"/>
      <c r="V161" s="385">
        <v>0</v>
      </c>
      <c r="W161" s="386"/>
      <c r="X161" s="373"/>
      <c r="Y161" s="374"/>
      <c r="Z161" s="387"/>
      <c r="AA161" s="385">
        <v>0</v>
      </c>
      <c r="AB161" s="386"/>
      <c r="AC161" s="373"/>
      <c r="AD161" s="374"/>
      <c r="AE161" s="387"/>
      <c r="AF161" s="385">
        <v>0</v>
      </c>
      <c r="AG161" s="386"/>
      <c r="AH161" s="373"/>
      <c r="AI161" s="374"/>
      <c r="AJ161" s="387"/>
      <c r="AK161" s="385">
        <v>0</v>
      </c>
      <c r="AL161" s="386"/>
      <c r="AM161" s="373"/>
      <c r="AN161" s="374"/>
      <c r="AO161" s="387"/>
      <c r="AP161" s="385">
        <v>0</v>
      </c>
      <c r="AQ161" s="386"/>
      <c r="AR161" s="373"/>
      <c r="AS161" s="374"/>
      <c r="AT161" s="387"/>
      <c r="AU161" s="385">
        <v>0</v>
      </c>
      <c r="AV161" s="386"/>
      <c r="AW161" s="373"/>
      <c r="AX161" s="374"/>
      <c r="AY161" s="387"/>
      <c r="AZ161" s="385">
        <v>0</v>
      </c>
      <c r="BA161" s="386"/>
      <c r="BB161" s="373"/>
      <c r="BC161" s="374"/>
      <c r="BD161" s="387"/>
      <c r="BE161" s="385">
        <v>0</v>
      </c>
      <c r="BF161" s="386"/>
      <c r="BG161" s="373"/>
      <c r="BH161" s="374"/>
      <c r="BI161" s="387"/>
      <c r="BJ161" s="385">
        <v>0</v>
      </c>
      <c r="BK161" s="386"/>
      <c r="BL161" s="373"/>
      <c r="BM161" s="374"/>
      <c r="BN161" s="387"/>
      <c r="BO161" s="385">
        <v>0</v>
      </c>
      <c r="BP161" s="386"/>
      <c r="BQ161" s="373"/>
      <c r="BR161" s="374"/>
      <c r="BS161" s="387"/>
      <c r="BT161" s="385">
        <f>SUM(L161:BO161)</f>
        <v>0</v>
      </c>
      <c r="BU161" s="386"/>
      <c r="BV161" s="373"/>
      <c r="BW161" s="9"/>
    </row>
    <row r="162" spans="4:78" ht="12.75" hidden="1" customHeight="1" x14ac:dyDescent="0.2">
      <c r="D162" s="9"/>
      <c r="E162" s="156"/>
      <c r="G162" s="373"/>
      <c r="H162" s="373"/>
      <c r="I162" s="373"/>
      <c r="J162" s="374"/>
      <c r="K162" s="373"/>
      <c r="L162" s="373"/>
      <c r="M162" s="373"/>
      <c r="N162" s="373"/>
      <c r="O162" s="374"/>
      <c r="P162" s="373"/>
      <c r="Q162" s="373"/>
      <c r="R162" s="373"/>
      <c r="S162" s="373"/>
      <c r="T162" s="374"/>
      <c r="U162" s="373"/>
      <c r="V162" s="373"/>
      <c r="W162" s="373"/>
      <c r="X162" s="373"/>
      <c r="Y162" s="374"/>
      <c r="Z162" s="373"/>
      <c r="AA162" s="373"/>
      <c r="AB162" s="373"/>
      <c r="AC162" s="373"/>
      <c r="AD162" s="374"/>
      <c r="AE162" s="373"/>
      <c r="AF162" s="373"/>
      <c r="AG162" s="373"/>
      <c r="AH162" s="373"/>
      <c r="AI162" s="374"/>
      <c r="AJ162" s="373"/>
      <c r="AK162" s="373"/>
      <c r="AL162" s="373"/>
      <c r="AM162" s="373"/>
      <c r="AN162" s="374"/>
      <c r="AO162" s="373"/>
      <c r="AP162" s="373"/>
      <c r="AQ162" s="373"/>
      <c r="AR162" s="373"/>
      <c r="AS162" s="374"/>
      <c r="AT162" s="373"/>
      <c r="AU162" s="373"/>
      <c r="AV162" s="373"/>
      <c r="AW162" s="373"/>
      <c r="AX162" s="374"/>
      <c r="AY162" s="373"/>
      <c r="AZ162" s="373"/>
      <c r="BA162" s="373"/>
      <c r="BB162" s="373"/>
      <c r="BC162" s="374"/>
      <c r="BD162" s="373"/>
      <c r="BE162" s="373"/>
      <c r="BF162" s="373"/>
      <c r="BG162" s="373"/>
      <c r="BH162" s="374"/>
      <c r="BI162" s="373"/>
      <c r="BJ162" s="373"/>
      <c r="BK162" s="373"/>
      <c r="BL162" s="373"/>
      <c r="BM162" s="374"/>
      <c r="BN162" s="373"/>
      <c r="BO162" s="373"/>
      <c r="BP162" s="373"/>
      <c r="BQ162" s="373"/>
      <c r="BR162" s="374"/>
      <c r="BS162" s="373"/>
      <c r="BT162" s="373"/>
      <c r="BU162" s="373"/>
      <c r="BV162" s="373"/>
      <c r="BW162" s="9"/>
    </row>
    <row r="163" spans="4:78" ht="12.75" hidden="1" customHeight="1" x14ac:dyDescent="0.2">
      <c r="D163" s="9" t="s">
        <v>481</v>
      </c>
      <c r="E163" s="156"/>
      <c r="G163" s="373">
        <v>0</v>
      </c>
      <c r="H163" s="373"/>
      <c r="I163" s="373"/>
      <c r="J163" s="374"/>
      <c r="K163" s="373"/>
      <c r="L163" s="373">
        <f>SUM(L164:L165)</f>
        <v>0</v>
      </c>
      <c r="M163" s="373"/>
      <c r="N163" s="373"/>
      <c r="O163" s="374"/>
      <c r="P163" s="373"/>
      <c r="Q163" s="373">
        <f>SUM(Q164:Q165)</f>
        <v>0</v>
      </c>
      <c r="R163" s="373"/>
      <c r="S163" s="373"/>
      <c r="T163" s="374"/>
      <c r="U163" s="373"/>
      <c r="V163" s="373">
        <f>SUM(V164:V165)</f>
        <v>0</v>
      </c>
      <c r="W163" s="373"/>
      <c r="X163" s="373"/>
      <c r="Y163" s="374"/>
      <c r="Z163" s="373"/>
      <c r="AA163" s="373">
        <f>SUM(AA164:AA165)</f>
        <v>0</v>
      </c>
      <c r="AB163" s="373"/>
      <c r="AC163" s="373"/>
      <c r="AD163" s="374"/>
      <c r="AE163" s="373"/>
      <c r="AF163" s="373">
        <f>SUM(AF164:AF165)</f>
        <v>0</v>
      </c>
      <c r="AG163" s="373"/>
      <c r="AH163" s="373"/>
      <c r="AI163" s="374"/>
      <c r="AJ163" s="373"/>
      <c r="AK163" s="373">
        <f>SUM(AK164:AK165)</f>
        <v>0</v>
      </c>
      <c r="AL163" s="373"/>
      <c r="AM163" s="373"/>
      <c r="AN163" s="374"/>
      <c r="AO163" s="373"/>
      <c r="AP163" s="373">
        <f>SUM(AP164:AP165)</f>
        <v>0</v>
      </c>
      <c r="AQ163" s="373"/>
      <c r="AR163" s="373"/>
      <c r="AS163" s="374"/>
      <c r="AT163" s="373"/>
      <c r="AU163" s="373">
        <f>SUM(AU164:AU165)</f>
        <v>0</v>
      </c>
      <c r="AV163" s="373"/>
      <c r="AW163" s="373"/>
      <c r="AX163" s="374"/>
      <c r="AY163" s="373"/>
      <c r="AZ163" s="373">
        <f>SUM(AZ164:AZ165)</f>
        <v>0</v>
      </c>
      <c r="BA163" s="373"/>
      <c r="BB163" s="373"/>
      <c r="BC163" s="374"/>
      <c r="BD163" s="373"/>
      <c r="BE163" s="373">
        <f>SUM(BE164:BE165)</f>
        <v>0</v>
      </c>
      <c r="BF163" s="373"/>
      <c r="BG163" s="373"/>
      <c r="BH163" s="374"/>
      <c r="BI163" s="373"/>
      <c r="BJ163" s="373">
        <f>SUM(BJ164:BJ165)</f>
        <v>0</v>
      </c>
      <c r="BK163" s="373"/>
      <c r="BL163" s="373"/>
      <c r="BM163" s="374"/>
      <c r="BN163" s="373"/>
      <c r="BO163" s="373">
        <f>SUM(BO164:BO165)</f>
        <v>0</v>
      </c>
      <c r="BP163" s="373"/>
      <c r="BQ163" s="373"/>
      <c r="BR163" s="374"/>
      <c r="BS163" s="373"/>
      <c r="BT163" s="373">
        <f>SUM(BT164:BT165)</f>
        <v>0</v>
      </c>
      <c r="BU163" s="373"/>
      <c r="BV163" s="373"/>
      <c r="BW163" s="9"/>
    </row>
    <row r="164" spans="4:78" ht="12.75" hidden="1" customHeight="1" x14ac:dyDescent="0.2">
      <c r="D164" s="9" t="s">
        <v>466</v>
      </c>
      <c r="E164" s="156"/>
      <c r="F164" s="309"/>
      <c r="G164" s="371">
        <v>0</v>
      </c>
      <c r="H164" s="372"/>
      <c r="I164" s="373"/>
      <c r="J164" s="374"/>
      <c r="K164" s="375"/>
      <c r="L164" s="371">
        <v>0</v>
      </c>
      <c r="M164" s="372"/>
      <c r="N164" s="373"/>
      <c r="O164" s="374"/>
      <c r="P164" s="375"/>
      <c r="Q164" s="371">
        <v>0</v>
      </c>
      <c r="R164" s="372"/>
      <c r="S164" s="373"/>
      <c r="T164" s="374"/>
      <c r="U164" s="375"/>
      <c r="V164" s="371">
        <v>0</v>
      </c>
      <c r="W164" s="372"/>
      <c r="X164" s="373"/>
      <c r="Y164" s="374"/>
      <c r="Z164" s="375"/>
      <c r="AA164" s="371">
        <v>0</v>
      </c>
      <c r="AB164" s="372"/>
      <c r="AC164" s="373"/>
      <c r="AD164" s="374"/>
      <c r="AE164" s="375"/>
      <c r="AF164" s="371">
        <v>0</v>
      </c>
      <c r="AG164" s="372"/>
      <c r="AH164" s="373"/>
      <c r="AI164" s="374"/>
      <c r="AJ164" s="375"/>
      <c r="AK164" s="371">
        <v>0</v>
      </c>
      <c r="AL164" s="372"/>
      <c r="AM164" s="373"/>
      <c r="AN164" s="374"/>
      <c r="AO164" s="375"/>
      <c r="AP164" s="371">
        <v>0</v>
      </c>
      <c r="AQ164" s="372"/>
      <c r="AR164" s="373"/>
      <c r="AS164" s="374"/>
      <c r="AT164" s="375"/>
      <c r="AU164" s="371">
        <v>0</v>
      </c>
      <c r="AV164" s="372"/>
      <c r="AW164" s="373"/>
      <c r="AX164" s="374"/>
      <c r="AY164" s="375"/>
      <c r="AZ164" s="371">
        <v>0</v>
      </c>
      <c r="BA164" s="372"/>
      <c r="BB164" s="373"/>
      <c r="BC164" s="374"/>
      <c r="BD164" s="375"/>
      <c r="BE164" s="371">
        <v>0</v>
      </c>
      <c r="BF164" s="372"/>
      <c r="BG164" s="373"/>
      <c r="BH164" s="374"/>
      <c r="BI164" s="375"/>
      <c r="BJ164" s="371">
        <v>0</v>
      </c>
      <c r="BK164" s="372"/>
      <c r="BL164" s="373"/>
      <c r="BM164" s="374"/>
      <c r="BN164" s="375"/>
      <c r="BO164" s="371">
        <v>0</v>
      </c>
      <c r="BP164" s="372"/>
      <c r="BQ164" s="373"/>
      <c r="BR164" s="374"/>
      <c r="BS164" s="375"/>
      <c r="BT164" s="371">
        <f>SUM(L164:BO164)</f>
        <v>0</v>
      </c>
      <c r="BU164" s="372"/>
      <c r="BV164" s="373"/>
      <c r="BW164" s="9"/>
    </row>
    <row r="165" spans="4:78" ht="12.75" hidden="1" customHeight="1" x14ac:dyDescent="0.2">
      <c r="D165" s="9" t="s">
        <v>467</v>
      </c>
      <c r="E165" s="156"/>
      <c r="F165" s="320"/>
      <c r="G165" s="385">
        <v>0</v>
      </c>
      <c r="H165" s="386"/>
      <c r="I165" s="373"/>
      <c r="J165" s="374"/>
      <c r="K165" s="387"/>
      <c r="L165" s="385">
        <v>0</v>
      </c>
      <c r="M165" s="386"/>
      <c r="N165" s="373"/>
      <c r="O165" s="374"/>
      <c r="P165" s="387"/>
      <c r="Q165" s="385">
        <v>0</v>
      </c>
      <c r="R165" s="386"/>
      <c r="S165" s="373"/>
      <c r="T165" s="374"/>
      <c r="U165" s="387"/>
      <c r="V165" s="385">
        <v>0</v>
      </c>
      <c r="W165" s="386"/>
      <c r="X165" s="373"/>
      <c r="Y165" s="374"/>
      <c r="Z165" s="387"/>
      <c r="AA165" s="385">
        <v>0</v>
      </c>
      <c r="AB165" s="386"/>
      <c r="AC165" s="373"/>
      <c r="AD165" s="374"/>
      <c r="AE165" s="387"/>
      <c r="AF165" s="385">
        <v>0</v>
      </c>
      <c r="AG165" s="386"/>
      <c r="AH165" s="373"/>
      <c r="AI165" s="374"/>
      <c r="AJ165" s="387"/>
      <c r="AK165" s="385">
        <v>0</v>
      </c>
      <c r="AL165" s="386"/>
      <c r="AM165" s="373"/>
      <c r="AN165" s="374"/>
      <c r="AO165" s="387"/>
      <c r="AP165" s="385">
        <v>0</v>
      </c>
      <c r="AQ165" s="386"/>
      <c r="AR165" s="373"/>
      <c r="AS165" s="374"/>
      <c r="AT165" s="387"/>
      <c r="AU165" s="385">
        <v>0</v>
      </c>
      <c r="AV165" s="386"/>
      <c r="AW165" s="373"/>
      <c r="AX165" s="374"/>
      <c r="AY165" s="387"/>
      <c r="AZ165" s="385">
        <v>0</v>
      </c>
      <c r="BA165" s="386"/>
      <c r="BB165" s="373"/>
      <c r="BC165" s="374"/>
      <c r="BD165" s="387"/>
      <c r="BE165" s="385">
        <v>0</v>
      </c>
      <c r="BF165" s="386"/>
      <c r="BG165" s="373"/>
      <c r="BH165" s="374"/>
      <c r="BI165" s="387"/>
      <c r="BJ165" s="385">
        <v>0</v>
      </c>
      <c r="BK165" s="386"/>
      <c r="BL165" s="373"/>
      <c r="BM165" s="374"/>
      <c r="BN165" s="387"/>
      <c r="BO165" s="385">
        <v>0</v>
      </c>
      <c r="BP165" s="386"/>
      <c r="BQ165" s="373"/>
      <c r="BR165" s="374"/>
      <c r="BS165" s="387"/>
      <c r="BT165" s="385">
        <f>SUM(L165:BO165)</f>
        <v>0</v>
      </c>
      <c r="BU165" s="386"/>
      <c r="BV165" s="373"/>
      <c r="BW165" s="9"/>
    </row>
    <row r="166" spans="4:78" hidden="1" x14ac:dyDescent="0.2">
      <c r="D166" s="9"/>
      <c r="E166" s="156"/>
      <c r="G166" s="373"/>
      <c r="H166" s="373"/>
      <c r="I166" s="373"/>
      <c r="J166" s="374"/>
      <c r="K166" s="373"/>
      <c r="L166" s="373"/>
      <c r="M166" s="373"/>
      <c r="N166" s="373"/>
      <c r="O166" s="374"/>
      <c r="P166" s="373"/>
      <c r="Q166" s="373"/>
      <c r="R166" s="373"/>
      <c r="S166" s="373"/>
      <c r="T166" s="374"/>
      <c r="U166" s="373"/>
      <c r="V166" s="373"/>
      <c r="W166" s="373"/>
      <c r="X166" s="373"/>
      <c r="Y166" s="374"/>
      <c r="Z166" s="373"/>
      <c r="AA166" s="373"/>
      <c r="AB166" s="373"/>
      <c r="AC166" s="373"/>
      <c r="AD166" s="374"/>
      <c r="AE166" s="373"/>
      <c r="AF166" s="373"/>
      <c r="AG166" s="373"/>
      <c r="AH166" s="373"/>
      <c r="AI166" s="374"/>
      <c r="AJ166" s="373"/>
      <c r="AK166" s="373"/>
      <c r="AL166" s="373"/>
      <c r="AM166" s="373"/>
      <c r="AN166" s="374"/>
      <c r="AO166" s="373"/>
      <c r="AP166" s="373"/>
      <c r="AQ166" s="373"/>
      <c r="AR166" s="373"/>
      <c r="AS166" s="374"/>
      <c r="AT166" s="373"/>
      <c r="AU166" s="373"/>
      <c r="AV166" s="373"/>
      <c r="AW166" s="373"/>
      <c r="AX166" s="374"/>
      <c r="AY166" s="373"/>
      <c r="AZ166" s="373"/>
      <c r="BA166" s="373"/>
      <c r="BB166" s="373"/>
      <c r="BC166" s="374"/>
      <c r="BD166" s="373"/>
      <c r="BE166" s="373"/>
      <c r="BF166" s="373"/>
      <c r="BG166" s="373"/>
      <c r="BH166" s="374"/>
      <c r="BI166" s="373"/>
      <c r="BJ166" s="373"/>
      <c r="BK166" s="373"/>
      <c r="BL166" s="373"/>
      <c r="BM166" s="374"/>
      <c r="BN166" s="373"/>
      <c r="BO166" s="373"/>
      <c r="BP166" s="373"/>
      <c r="BQ166" s="373"/>
      <c r="BR166" s="374"/>
      <c r="BS166" s="373"/>
      <c r="BT166" s="373"/>
      <c r="BU166" s="373"/>
      <c r="BV166" s="373"/>
      <c r="BW166" s="9"/>
    </row>
    <row r="167" spans="4:78" s="10" customFormat="1" hidden="1" x14ac:dyDescent="0.2">
      <c r="D167" s="79" t="s">
        <v>482</v>
      </c>
      <c r="E167" s="145"/>
      <c r="G167" s="368">
        <v>0</v>
      </c>
      <c r="H167" s="368"/>
      <c r="I167" s="368"/>
      <c r="J167" s="369"/>
      <c r="K167" s="368"/>
      <c r="L167" s="368">
        <f>SUM(L168:L169)</f>
        <v>0</v>
      </c>
      <c r="M167" s="368"/>
      <c r="N167" s="368"/>
      <c r="O167" s="369"/>
      <c r="P167" s="368"/>
      <c r="Q167" s="368">
        <f>SUM(Q168:Q169)</f>
        <v>0</v>
      </c>
      <c r="R167" s="368"/>
      <c r="S167" s="368"/>
      <c r="T167" s="369"/>
      <c r="U167" s="368"/>
      <c r="V167" s="368">
        <f>SUM(V168:V169)</f>
        <v>0</v>
      </c>
      <c r="W167" s="368"/>
      <c r="X167" s="368"/>
      <c r="Y167" s="369"/>
      <c r="Z167" s="368"/>
      <c r="AA167" s="368">
        <f>SUM(AA168:AA169)</f>
        <v>0</v>
      </c>
      <c r="AB167" s="368"/>
      <c r="AC167" s="368"/>
      <c r="AD167" s="369"/>
      <c r="AE167" s="368"/>
      <c r="AF167" s="368">
        <f>SUM(AF168:AF169)</f>
        <v>0</v>
      </c>
      <c r="AG167" s="368"/>
      <c r="AH167" s="368"/>
      <c r="AI167" s="369"/>
      <c r="AJ167" s="368"/>
      <c r="AK167" s="368">
        <f>SUM(AK168:AK169)</f>
        <v>0</v>
      </c>
      <c r="AL167" s="368"/>
      <c r="AM167" s="368"/>
      <c r="AN167" s="369"/>
      <c r="AO167" s="368"/>
      <c r="AP167" s="368">
        <f>SUM(AP168:AP169)</f>
        <v>0</v>
      </c>
      <c r="AQ167" s="368"/>
      <c r="AR167" s="368"/>
      <c r="AS167" s="369"/>
      <c r="AT167" s="368"/>
      <c r="AU167" s="368">
        <f>SUM(AU168:AU169)</f>
        <v>0</v>
      </c>
      <c r="AV167" s="368"/>
      <c r="AW167" s="368"/>
      <c r="AX167" s="369"/>
      <c r="AY167" s="368"/>
      <c r="AZ167" s="368">
        <f>SUM(AZ168:AZ169)</f>
        <v>0</v>
      </c>
      <c r="BA167" s="368"/>
      <c r="BB167" s="368"/>
      <c r="BC167" s="369"/>
      <c r="BD167" s="368"/>
      <c r="BE167" s="368">
        <f>SUM(BE168:BE169)</f>
        <v>0</v>
      </c>
      <c r="BF167" s="368"/>
      <c r="BG167" s="368"/>
      <c r="BH167" s="369"/>
      <c r="BI167" s="368"/>
      <c r="BJ167" s="368">
        <f>SUM(BJ168:BJ169)</f>
        <v>0</v>
      </c>
      <c r="BK167" s="368"/>
      <c r="BL167" s="368"/>
      <c r="BM167" s="369"/>
      <c r="BN167" s="368"/>
      <c r="BO167" s="368">
        <f>SUM(BO168:BO169)</f>
        <v>0</v>
      </c>
      <c r="BP167" s="368"/>
      <c r="BQ167" s="368"/>
      <c r="BR167" s="369"/>
      <c r="BS167" s="368"/>
      <c r="BT167" s="368">
        <f>SUM(BT168:BT169)</f>
        <v>0</v>
      </c>
      <c r="BU167" s="368"/>
      <c r="BV167" s="368"/>
      <c r="BW167" s="79"/>
      <c r="BY167" s="1"/>
      <c r="BZ167" s="1"/>
    </row>
    <row r="168" spans="4:78" hidden="1" x14ac:dyDescent="0.2">
      <c r="D168" s="9" t="s">
        <v>466</v>
      </c>
      <c r="E168" s="156"/>
      <c r="F168" s="309"/>
      <c r="G168" s="371">
        <v>0</v>
      </c>
      <c r="H168" s="372"/>
      <c r="I168" s="373"/>
      <c r="J168" s="374"/>
      <c r="K168" s="375"/>
      <c r="L168" s="371">
        <f>L172+L176+L180+L184</f>
        <v>0</v>
      </c>
      <c r="M168" s="372"/>
      <c r="N168" s="373"/>
      <c r="O168" s="374"/>
      <c r="P168" s="375"/>
      <c r="Q168" s="371">
        <f>Q172+Q176+Q180+Q184</f>
        <v>0</v>
      </c>
      <c r="R168" s="372"/>
      <c r="S168" s="373"/>
      <c r="T168" s="374"/>
      <c r="U168" s="375"/>
      <c r="V168" s="371">
        <f>V172+V176+V180+V184</f>
        <v>0</v>
      </c>
      <c r="W168" s="372"/>
      <c r="X168" s="373"/>
      <c r="Y168" s="374"/>
      <c r="Z168" s="375"/>
      <c r="AA168" s="371">
        <f>AA172+AA176+AA180+AA184</f>
        <v>0</v>
      </c>
      <c r="AB168" s="372"/>
      <c r="AC168" s="373"/>
      <c r="AD168" s="374"/>
      <c r="AE168" s="375"/>
      <c r="AF168" s="371">
        <f>AF172+AF176+AF180+AF184</f>
        <v>0</v>
      </c>
      <c r="AG168" s="372"/>
      <c r="AH168" s="373"/>
      <c r="AI168" s="374"/>
      <c r="AJ168" s="375"/>
      <c r="AK168" s="371">
        <f>AK172+AK176+AK180+AK184</f>
        <v>0</v>
      </c>
      <c r="AL168" s="372"/>
      <c r="AM168" s="373"/>
      <c r="AN168" s="374"/>
      <c r="AO168" s="375"/>
      <c r="AP168" s="371">
        <f>AP172+AP176+AP180+AP184</f>
        <v>0</v>
      </c>
      <c r="AQ168" s="372"/>
      <c r="AR168" s="373"/>
      <c r="AS168" s="374"/>
      <c r="AT168" s="375"/>
      <c r="AU168" s="371">
        <f>AU172+AU176+AU180+AU184</f>
        <v>0</v>
      </c>
      <c r="AV168" s="372"/>
      <c r="AW168" s="373"/>
      <c r="AX168" s="374"/>
      <c r="AY168" s="375"/>
      <c r="AZ168" s="371">
        <f>AZ172+AZ176+AZ180+AZ184</f>
        <v>0</v>
      </c>
      <c r="BA168" s="372"/>
      <c r="BB168" s="373"/>
      <c r="BC168" s="374"/>
      <c r="BD168" s="375"/>
      <c r="BE168" s="371">
        <f>BE172+BE176+BE180+BE184</f>
        <v>0</v>
      </c>
      <c r="BF168" s="372"/>
      <c r="BG168" s="373"/>
      <c r="BH168" s="374"/>
      <c r="BI168" s="375"/>
      <c r="BJ168" s="371">
        <f>BJ172+BJ176+BJ180+BJ184</f>
        <v>0</v>
      </c>
      <c r="BK168" s="372"/>
      <c r="BL168" s="373"/>
      <c r="BM168" s="374"/>
      <c r="BN168" s="375"/>
      <c r="BO168" s="371">
        <f>BO172+BO176+BO180+BO184</f>
        <v>0</v>
      </c>
      <c r="BP168" s="372"/>
      <c r="BQ168" s="373"/>
      <c r="BR168" s="374"/>
      <c r="BS168" s="375"/>
      <c r="BT168" s="371">
        <f>BT172+BT176+BT180+BT184</f>
        <v>0</v>
      </c>
      <c r="BU168" s="372"/>
      <c r="BV168" s="373"/>
      <c r="BW168" s="9"/>
    </row>
    <row r="169" spans="4:78" hidden="1" x14ac:dyDescent="0.2">
      <c r="D169" s="9" t="s">
        <v>467</v>
      </c>
      <c r="E169" s="156"/>
      <c r="F169" s="320"/>
      <c r="G169" s="385">
        <v>0</v>
      </c>
      <c r="H169" s="386"/>
      <c r="I169" s="373"/>
      <c r="J169" s="374"/>
      <c r="K169" s="387"/>
      <c r="L169" s="385">
        <f>L173+L177+L181+L185</f>
        <v>0</v>
      </c>
      <c r="M169" s="386"/>
      <c r="N169" s="373"/>
      <c r="O169" s="374"/>
      <c r="P169" s="387"/>
      <c r="Q169" s="385">
        <f>Q173+Q177+Q181+Q185</f>
        <v>0</v>
      </c>
      <c r="R169" s="386"/>
      <c r="S169" s="373"/>
      <c r="T169" s="374"/>
      <c r="U169" s="387"/>
      <c r="V169" s="385">
        <f>V173+V177+V181+V185</f>
        <v>0</v>
      </c>
      <c r="W169" s="386"/>
      <c r="X169" s="373"/>
      <c r="Y169" s="374"/>
      <c r="Z169" s="387"/>
      <c r="AA169" s="385">
        <f>AA173+AA177+AA181+AA185</f>
        <v>0</v>
      </c>
      <c r="AB169" s="386"/>
      <c r="AC169" s="373"/>
      <c r="AD169" s="374"/>
      <c r="AE169" s="387"/>
      <c r="AF169" s="385">
        <f>AF173+AF177+AF181+AF185</f>
        <v>0</v>
      </c>
      <c r="AG169" s="386"/>
      <c r="AH169" s="373"/>
      <c r="AI169" s="374"/>
      <c r="AJ169" s="387"/>
      <c r="AK169" s="385">
        <f>AK173+AK177+AK181+AK185</f>
        <v>0</v>
      </c>
      <c r="AL169" s="386"/>
      <c r="AM169" s="373"/>
      <c r="AN169" s="374"/>
      <c r="AO169" s="387"/>
      <c r="AP169" s="385">
        <f>AP173+AP177+AP181+AP185</f>
        <v>0</v>
      </c>
      <c r="AQ169" s="386"/>
      <c r="AR169" s="373"/>
      <c r="AS169" s="374"/>
      <c r="AT169" s="387"/>
      <c r="AU169" s="385">
        <f>AU173+AU177+AU181+AU185</f>
        <v>0</v>
      </c>
      <c r="AV169" s="386"/>
      <c r="AW169" s="373"/>
      <c r="AX169" s="374"/>
      <c r="AY169" s="387"/>
      <c r="AZ169" s="385">
        <f>AZ173+AZ177+AZ181+AZ185</f>
        <v>0</v>
      </c>
      <c r="BA169" s="386"/>
      <c r="BB169" s="373"/>
      <c r="BC169" s="374"/>
      <c r="BD169" s="387"/>
      <c r="BE169" s="385">
        <f>BE173+BE177+BE181+BE185</f>
        <v>0</v>
      </c>
      <c r="BF169" s="386"/>
      <c r="BG169" s="373"/>
      <c r="BH169" s="374"/>
      <c r="BI169" s="387"/>
      <c r="BJ169" s="385">
        <f>BJ173+BJ177+BJ181+BJ185</f>
        <v>0</v>
      </c>
      <c r="BK169" s="386"/>
      <c r="BL169" s="373"/>
      <c r="BM169" s="374"/>
      <c r="BN169" s="387"/>
      <c r="BO169" s="385">
        <f>BO173+BO177+BO181+BO185</f>
        <v>0</v>
      </c>
      <c r="BP169" s="386"/>
      <c r="BQ169" s="373"/>
      <c r="BR169" s="374"/>
      <c r="BS169" s="387"/>
      <c r="BT169" s="385">
        <f>BT173+BT177+BT181+BT185</f>
        <v>0</v>
      </c>
      <c r="BU169" s="386"/>
      <c r="BV169" s="373"/>
      <c r="BW169" s="9"/>
    </row>
    <row r="170" spans="4:78" hidden="1" x14ac:dyDescent="0.2">
      <c r="D170" s="9"/>
      <c r="E170" s="156"/>
      <c r="G170" s="373"/>
      <c r="H170" s="373"/>
      <c r="I170" s="373"/>
      <c r="J170" s="374"/>
      <c r="K170" s="373"/>
      <c r="L170" s="373"/>
      <c r="M170" s="373"/>
      <c r="N170" s="373"/>
      <c r="O170" s="374"/>
      <c r="P170" s="373"/>
      <c r="Q170" s="373"/>
      <c r="R170" s="373"/>
      <c r="S170" s="373"/>
      <c r="T170" s="374"/>
      <c r="U170" s="373"/>
      <c r="V170" s="373"/>
      <c r="W170" s="373"/>
      <c r="X170" s="373"/>
      <c r="Y170" s="374"/>
      <c r="Z170" s="373"/>
      <c r="AA170" s="373"/>
      <c r="AB170" s="373"/>
      <c r="AC170" s="373"/>
      <c r="AD170" s="374"/>
      <c r="AE170" s="373"/>
      <c r="AF170" s="373"/>
      <c r="AG170" s="373"/>
      <c r="AH170" s="373"/>
      <c r="AI170" s="374"/>
      <c r="AJ170" s="373"/>
      <c r="AK170" s="373"/>
      <c r="AL170" s="373"/>
      <c r="AM170" s="373"/>
      <c r="AN170" s="374"/>
      <c r="AO170" s="373"/>
      <c r="AP170" s="373"/>
      <c r="AQ170" s="373"/>
      <c r="AR170" s="373"/>
      <c r="AS170" s="374"/>
      <c r="AT170" s="373"/>
      <c r="AU170" s="373"/>
      <c r="AV170" s="373"/>
      <c r="AW170" s="373"/>
      <c r="AX170" s="374"/>
      <c r="AY170" s="373"/>
      <c r="AZ170" s="373"/>
      <c r="BA170" s="373"/>
      <c r="BB170" s="373"/>
      <c r="BC170" s="374"/>
      <c r="BD170" s="373"/>
      <c r="BE170" s="373"/>
      <c r="BF170" s="373"/>
      <c r="BG170" s="373"/>
      <c r="BH170" s="374"/>
      <c r="BI170" s="373"/>
      <c r="BJ170" s="373"/>
      <c r="BK170" s="373"/>
      <c r="BL170" s="373"/>
      <c r="BM170" s="374"/>
      <c r="BN170" s="373"/>
      <c r="BO170" s="373"/>
      <c r="BP170" s="373"/>
      <c r="BQ170" s="373"/>
      <c r="BR170" s="374"/>
      <c r="BS170" s="373"/>
      <c r="BT170" s="373"/>
      <c r="BU170" s="373"/>
      <c r="BV170" s="373"/>
      <c r="BW170" s="9"/>
    </row>
    <row r="171" spans="4:78" hidden="1" x14ac:dyDescent="0.2">
      <c r="D171" s="9" t="s">
        <v>483</v>
      </c>
      <c r="E171" s="156"/>
      <c r="G171" s="373">
        <v>0</v>
      </c>
      <c r="H171" s="373"/>
      <c r="I171" s="373"/>
      <c r="J171" s="374"/>
      <c r="K171" s="373"/>
      <c r="L171" s="373">
        <f>SUM(L172:L173)</f>
        <v>0</v>
      </c>
      <c r="M171" s="373"/>
      <c r="N171" s="373"/>
      <c r="O171" s="374"/>
      <c r="P171" s="373"/>
      <c r="Q171" s="373">
        <f>SUM(Q172:Q173)</f>
        <v>0</v>
      </c>
      <c r="R171" s="373"/>
      <c r="S171" s="373"/>
      <c r="T171" s="374"/>
      <c r="U171" s="373"/>
      <c r="V171" s="373">
        <f>SUM(V172:V173)</f>
        <v>0</v>
      </c>
      <c r="W171" s="373"/>
      <c r="X171" s="373"/>
      <c r="Y171" s="374"/>
      <c r="Z171" s="373"/>
      <c r="AA171" s="373">
        <f>SUM(AA172:AA173)</f>
        <v>0</v>
      </c>
      <c r="AB171" s="373"/>
      <c r="AC171" s="373"/>
      <c r="AD171" s="374"/>
      <c r="AE171" s="373"/>
      <c r="AF171" s="373">
        <f>SUM(AF172:AF173)</f>
        <v>0</v>
      </c>
      <c r="AG171" s="373"/>
      <c r="AH171" s="373"/>
      <c r="AI171" s="374"/>
      <c r="AJ171" s="373"/>
      <c r="AK171" s="373">
        <f>SUM(AK172:AK173)</f>
        <v>0</v>
      </c>
      <c r="AL171" s="373"/>
      <c r="AM171" s="373"/>
      <c r="AN171" s="374"/>
      <c r="AO171" s="373"/>
      <c r="AP171" s="373">
        <f>SUM(AP172:AP173)</f>
        <v>0</v>
      </c>
      <c r="AQ171" s="373"/>
      <c r="AR171" s="373"/>
      <c r="AS171" s="374"/>
      <c r="AT171" s="373"/>
      <c r="AU171" s="373">
        <f>SUM(AU172:AU173)</f>
        <v>0</v>
      </c>
      <c r="AV171" s="373"/>
      <c r="AW171" s="373"/>
      <c r="AX171" s="374"/>
      <c r="AY171" s="373"/>
      <c r="AZ171" s="373">
        <f>SUM(AZ172:AZ173)</f>
        <v>0</v>
      </c>
      <c r="BA171" s="373"/>
      <c r="BB171" s="373"/>
      <c r="BC171" s="374"/>
      <c r="BD171" s="373"/>
      <c r="BE171" s="373">
        <f>SUM(BE172:BE173)</f>
        <v>0</v>
      </c>
      <c r="BF171" s="373"/>
      <c r="BG171" s="373"/>
      <c r="BH171" s="374"/>
      <c r="BI171" s="373"/>
      <c r="BJ171" s="373">
        <f>SUM(BJ172:BJ173)</f>
        <v>0</v>
      </c>
      <c r="BK171" s="373"/>
      <c r="BL171" s="373"/>
      <c r="BM171" s="374"/>
      <c r="BN171" s="373"/>
      <c r="BO171" s="373">
        <f>SUM(BO172:BO173)</f>
        <v>0</v>
      </c>
      <c r="BP171" s="373"/>
      <c r="BQ171" s="373"/>
      <c r="BR171" s="374"/>
      <c r="BS171" s="373"/>
      <c r="BT171" s="373">
        <f>SUM(BT172:BT173)</f>
        <v>0</v>
      </c>
      <c r="BU171" s="373"/>
      <c r="BV171" s="373"/>
      <c r="BW171" s="9"/>
    </row>
    <row r="172" spans="4:78" hidden="1" x14ac:dyDescent="0.2">
      <c r="D172" s="9" t="s">
        <v>466</v>
      </c>
      <c r="E172" s="156"/>
      <c r="F172" s="309"/>
      <c r="G172" s="371">
        <v>0</v>
      </c>
      <c r="H172" s="372"/>
      <c r="I172" s="373"/>
      <c r="J172" s="374"/>
      <c r="K172" s="375"/>
      <c r="L172" s="371">
        <v>0</v>
      </c>
      <c r="M172" s="372"/>
      <c r="N172" s="373"/>
      <c r="O172" s="374"/>
      <c r="P172" s="375"/>
      <c r="Q172" s="371">
        <v>0</v>
      </c>
      <c r="R172" s="372"/>
      <c r="S172" s="373"/>
      <c r="T172" s="374"/>
      <c r="U172" s="375"/>
      <c r="V172" s="371">
        <v>0</v>
      </c>
      <c r="W172" s="372"/>
      <c r="X172" s="373"/>
      <c r="Y172" s="374"/>
      <c r="Z172" s="375"/>
      <c r="AA172" s="371">
        <v>0</v>
      </c>
      <c r="AB172" s="372"/>
      <c r="AC172" s="373"/>
      <c r="AD172" s="374"/>
      <c r="AE172" s="375"/>
      <c r="AF172" s="371">
        <v>0</v>
      </c>
      <c r="AG172" s="372"/>
      <c r="AH172" s="373"/>
      <c r="AI172" s="374"/>
      <c r="AJ172" s="375"/>
      <c r="AK172" s="371">
        <v>0</v>
      </c>
      <c r="AL172" s="372"/>
      <c r="AM172" s="373"/>
      <c r="AN172" s="374"/>
      <c r="AO172" s="375"/>
      <c r="AP172" s="371">
        <v>0</v>
      </c>
      <c r="AQ172" s="372"/>
      <c r="AR172" s="373"/>
      <c r="AS172" s="374"/>
      <c r="AT172" s="375"/>
      <c r="AU172" s="371">
        <v>0</v>
      </c>
      <c r="AV172" s="372"/>
      <c r="AW172" s="373"/>
      <c r="AX172" s="374"/>
      <c r="AY172" s="375"/>
      <c r="AZ172" s="371">
        <v>0</v>
      </c>
      <c r="BA172" s="372"/>
      <c r="BB172" s="373"/>
      <c r="BC172" s="374"/>
      <c r="BD172" s="375"/>
      <c r="BE172" s="371">
        <v>0</v>
      </c>
      <c r="BF172" s="372"/>
      <c r="BG172" s="373"/>
      <c r="BH172" s="374"/>
      <c r="BI172" s="375"/>
      <c r="BJ172" s="371">
        <v>0</v>
      </c>
      <c r="BK172" s="372"/>
      <c r="BL172" s="373"/>
      <c r="BM172" s="374"/>
      <c r="BN172" s="375"/>
      <c r="BO172" s="371">
        <v>0</v>
      </c>
      <c r="BP172" s="372"/>
      <c r="BQ172" s="373"/>
      <c r="BR172" s="374"/>
      <c r="BS172" s="375"/>
      <c r="BT172" s="371">
        <f>SUM(L172:BO172)</f>
        <v>0</v>
      </c>
      <c r="BU172" s="372"/>
      <c r="BV172" s="373"/>
      <c r="BW172" s="9"/>
    </row>
    <row r="173" spans="4:78" hidden="1" x14ac:dyDescent="0.2">
      <c r="D173" s="9" t="s">
        <v>467</v>
      </c>
      <c r="E173" s="156"/>
      <c r="F173" s="320"/>
      <c r="G173" s="385">
        <v>0</v>
      </c>
      <c r="H173" s="386"/>
      <c r="I173" s="373"/>
      <c r="J173" s="374"/>
      <c r="K173" s="387"/>
      <c r="L173" s="385">
        <v>0</v>
      </c>
      <c r="M173" s="386"/>
      <c r="N173" s="373"/>
      <c r="O173" s="374"/>
      <c r="P173" s="387"/>
      <c r="Q173" s="385">
        <v>0</v>
      </c>
      <c r="R173" s="386"/>
      <c r="S173" s="373"/>
      <c r="T173" s="374"/>
      <c r="U173" s="387"/>
      <c r="V173" s="385">
        <v>0</v>
      </c>
      <c r="W173" s="386"/>
      <c r="X173" s="373"/>
      <c r="Y173" s="374"/>
      <c r="Z173" s="387"/>
      <c r="AA173" s="385">
        <v>0</v>
      </c>
      <c r="AB173" s="386"/>
      <c r="AC173" s="373"/>
      <c r="AD173" s="374"/>
      <c r="AE173" s="387"/>
      <c r="AF173" s="385">
        <v>0</v>
      </c>
      <c r="AG173" s="386"/>
      <c r="AH173" s="373"/>
      <c r="AI173" s="374"/>
      <c r="AJ173" s="387"/>
      <c r="AK173" s="385">
        <v>0</v>
      </c>
      <c r="AL173" s="386"/>
      <c r="AM173" s="373"/>
      <c r="AN173" s="374"/>
      <c r="AO173" s="387"/>
      <c r="AP173" s="385">
        <v>0</v>
      </c>
      <c r="AQ173" s="386"/>
      <c r="AR173" s="373"/>
      <c r="AS173" s="374"/>
      <c r="AT173" s="387"/>
      <c r="AU173" s="385">
        <v>0</v>
      </c>
      <c r="AV173" s="386"/>
      <c r="AW173" s="373"/>
      <c r="AX173" s="374"/>
      <c r="AY173" s="387"/>
      <c r="AZ173" s="385">
        <v>0</v>
      </c>
      <c r="BA173" s="386"/>
      <c r="BB173" s="373"/>
      <c r="BC173" s="374"/>
      <c r="BD173" s="387"/>
      <c r="BE173" s="385">
        <v>0</v>
      </c>
      <c r="BF173" s="386"/>
      <c r="BG173" s="373"/>
      <c r="BH173" s="374"/>
      <c r="BI173" s="387"/>
      <c r="BJ173" s="385">
        <v>0</v>
      </c>
      <c r="BK173" s="386"/>
      <c r="BL173" s="373"/>
      <c r="BM173" s="374"/>
      <c r="BN173" s="387"/>
      <c r="BO173" s="385">
        <v>0</v>
      </c>
      <c r="BP173" s="386"/>
      <c r="BQ173" s="373"/>
      <c r="BR173" s="374"/>
      <c r="BS173" s="387"/>
      <c r="BT173" s="385">
        <f>SUM(L173:BO173)</f>
        <v>0</v>
      </c>
      <c r="BU173" s="386"/>
      <c r="BV173" s="373"/>
      <c r="BW173" s="9"/>
    </row>
    <row r="174" spans="4:78" hidden="1" x14ac:dyDescent="0.2">
      <c r="D174" s="9"/>
      <c r="E174" s="156"/>
      <c r="G174" s="373"/>
      <c r="H174" s="373"/>
      <c r="I174" s="373"/>
      <c r="J174" s="374"/>
      <c r="K174" s="373"/>
      <c r="L174" s="373"/>
      <c r="M174" s="373"/>
      <c r="N174" s="373"/>
      <c r="O174" s="374"/>
      <c r="P174" s="373"/>
      <c r="Q174" s="373"/>
      <c r="R174" s="373"/>
      <c r="S174" s="373"/>
      <c r="T174" s="374"/>
      <c r="U174" s="373"/>
      <c r="V174" s="373"/>
      <c r="W174" s="373"/>
      <c r="X174" s="373"/>
      <c r="Y174" s="374"/>
      <c r="Z174" s="373"/>
      <c r="AA174" s="373"/>
      <c r="AB174" s="373"/>
      <c r="AC174" s="373"/>
      <c r="AD174" s="374"/>
      <c r="AE174" s="373"/>
      <c r="AF174" s="373"/>
      <c r="AG174" s="373"/>
      <c r="AH174" s="373"/>
      <c r="AI174" s="374"/>
      <c r="AJ174" s="373"/>
      <c r="AK174" s="373"/>
      <c r="AL174" s="373"/>
      <c r="AM174" s="373"/>
      <c r="AN174" s="374"/>
      <c r="AO174" s="373"/>
      <c r="AP174" s="373"/>
      <c r="AQ174" s="373"/>
      <c r="AR174" s="373"/>
      <c r="AS174" s="374"/>
      <c r="AT174" s="373"/>
      <c r="AU174" s="373"/>
      <c r="AV174" s="373"/>
      <c r="AW174" s="373"/>
      <c r="AX174" s="374"/>
      <c r="AY174" s="373"/>
      <c r="AZ174" s="373"/>
      <c r="BA174" s="373"/>
      <c r="BB174" s="373"/>
      <c r="BC174" s="374"/>
      <c r="BD174" s="373"/>
      <c r="BE174" s="373"/>
      <c r="BF174" s="373"/>
      <c r="BG174" s="373"/>
      <c r="BH174" s="374"/>
      <c r="BI174" s="373"/>
      <c r="BJ174" s="373"/>
      <c r="BK174" s="373"/>
      <c r="BL174" s="373"/>
      <c r="BM174" s="374"/>
      <c r="BN174" s="373"/>
      <c r="BO174" s="373"/>
      <c r="BP174" s="373"/>
      <c r="BQ174" s="373"/>
      <c r="BR174" s="374"/>
      <c r="BS174" s="373"/>
      <c r="BT174" s="373"/>
      <c r="BU174" s="373"/>
      <c r="BV174" s="373"/>
      <c r="BW174" s="9"/>
    </row>
    <row r="175" spans="4:78" hidden="1" x14ac:dyDescent="0.2">
      <c r="D175" s="9" t="s">
        <v>484</v>
      </c>
      <c r="E175" s="156"/>
      <c r="G175" s="373">
        <f>SUM(G176:G177)</f>
        <v>0</v>
      </c>
      <c r="H175" s="373"/>
      <c r="I175" s="373"/>
      <c r="J175" s="374"/>
      <c r="K175" s="373"/>
      <c r="L175" s="373">
        <f>SUM(L176:L177)</f>
        <v>0</v>
      </c>
      <c r="M175" s="373"/>
      <c r="N175" s="373"/>
      <c r="O175" s="374"/>
      <c r="P175" s="373"/>
      <c r="Q175" s="373">
        <f>SUM(Q176:Q177)</f>
        <v>0</v>
      </c>
      <c r="R175" s="373"/>
      <c r="S175" s="373"/>
      <c r="T175" s="374"/>
      <c r="U175" s="373"/>
      <c r="V175" s="373">
        <f>SUM(V176:V177)</f>
        <v>0</v>
      </c>
      <c r="W175" s="373"/>
      <c r="X175" s="373"/>
      <c r="Y175" s="374"/>
      <c r="Z175" s="373"/>
      <c r="AA175" s="373">
        <f>SUM(AA176:AA177)</f>
        <v>0</v>
      </c>
      <c r="AB175" s="373"/>
      <c r="AC175" s="373"/>
      <c r="AD175" s="374"/>
      <c r="AE175" s="373"/>
      <c r="AF175" s="373">
        <f>SUM(AF176:AF177)</f>
        <v>0</v>
      </c>
      <c r="AG175" s="373"/>
      <c r="AH175" s="373"/>
      <c r="AI175" s="374"/>
      <c r="AJ175" s="373"/>
      <c r="AK175" s="373">
        <f>SUM(AK176:AK177)</f>
        <v>0</v>
      </c>
      <c r="AL175" s="373"/>
      <c r="AM175" s="373"/>
      <c r="AN175" s="374"/>
      <c r="AO175" s="373"/>
      <c r="AP175" s="373">
        <f>SUM(AP176:AP177)</f>
        <v>0</v>
      </c>
      <c r="AQ175" s="373"/>
      <c r="AR175" s="373"/>
      <c r="AS175" s="374"/>
      <c r="AT175" s="373"/>
      <c r="AU175" s="373">
        <f>SUM(AU176:AU177)</f>
        <v>0</v>
      </c>
      <c r="AV175" s="373"/>
      <c r="AW175" s="373"/>
      <c r="AX175" s="374"/>
      <c r="AY175" s="373"/>
      <c r="AZ175" s="373">
        <f>SUM(AZ176:AZ177)</f>
        <v>0</v>
      </c>
      <c r="BA175" s="373"/>
      <c r="BB175" s="373"/>
      <c r="BC175" s="374"/>
      <c r="BD175" s="373"/>
      <c r="BE175" s="373">
        <f>SUM(BE176:BE177)</f>
        <v>0</v>
      </c>
      <c r="BF175" s="373"/>
      <c r="BG175" s="373"/>
      <c r="BH175" s="374"/>
      <c r="BI175" s="373"/>
      <c r="BJ175" s="373">
        <f>SUM(BJ176:BJ177)</f>
        <v>0</v>
      </c>
      <c r="BK175" s="373"/>
      <c r="BL175" s="373"/>
      <c r="BM175" s="374"/>
      <c r="BN175" s="373"/>
      <c r="BO175" s="373">
        <f>SUM(BO176:BO177)</f>
        <v>0</v>
      </c>
      <c r="BP175" s="373"/>
      <c r="BQ175" s="373"/>
      <c r="BR175" s="374"/>
      <c r="BS175" s="373"/>
      <c r="BT175" s="373">
        <f>SUM(BT176:BT177)</f>
        <v>0</v>
      </c>
      <c r="BU175" s="373"/>
      <c r="BV175" s="373"/>
      <c r="BW175" s="9"/>
    </row>
    <row r="176" spans="4:78" hidden="1" x14ac:dyDescent="0.2">
      <c r="D176" s="9" t="s">
        <v>466</v>
      </c>
      <c r="E176" s="156"/>
      <c r="F176" s="309"/>
      <c r="G176" s="371">
        <v>0</v>
      </c>
      <c r="H176" s="372"/>
      <c r="I176" s="373"/>
      <c r="J176" s="374"/>
      <c r="K176" s="375"/>
      <c r="L176" s="371">
        <v>0</v>
      </c>
      <c r="M176" s="372"/>
      <c r="N176" s="373"/>
      <c r="O176" s="374"/>
      <c r="P176" s="375"/>
      <c r="Q176" s="371">
        <v>0</v>
      </c>
      <c r="R176" s="372"/>
      <c r="S176" s="373"/>
      <c r="T176" s="374"/>
      <c r="U176" s="375"/>
      <c r="V176" s="371">
        <v>0</v>
      </c>
      <c r="W176" s="372"/>
      <c r="X176" s="373"/>
      <c r="Y176" s="374"/>
      <c r="Z176" s="375"/>
      <c r="AA176" s="371">
        <v>0</v>
      </c>
      <c r="AB176" s="372"/>
      <c r="AC176" s="373"/>
      <c r="AD176" s="374"/>
      <c r="AE176" s="375"/>
      <c r="AF176" s="371">
        <v>0</v>
      </c>
      <c r="AG176" s="372"/>
      <c r="AH176" s="373"/>
      <c r="AI176" s="374"/>
      <c r="AJ176" s="375"/>
      <c r="AK176" s="371">
        <v>0</v>
      </c>
      <c r="AL176" s="372"/>
      <c r="AM176" s="373"/>
      <c r="AN176" s="374"/>
      <c r="AO176" s="375"/>
      <c r="AP176" s="371">
        <v>0</v>
      </c>
      <c r="AQ176" s="372"/>
      <c r="AR176" s="373"/>
      <c r="AS176" s="374"/>
      <c r="AT176" s="375"/>
      <c r="AU176" s="371">
        <v>0</v>
      </c>
      <c r="AV176" s="372"/>
      <c r="AW176" s="373"/>
      <c r="AX176" s="374"/>
      <c r="AY176" s="375"/>
      <c r="AZ176" s="371">
        <v>0</v>
      </c>
      <c r="BA176" s="372"/>
      <c r="BB176" s="373"/>
      <c r="BC176" s="374"/>
      <c r="BD176" s="375"/>
      <c r="BE176" s="371">
        <v>0</v>
      </c>
      <c r="BF176" s="372"/>
      <c r="BG176" s="373"/>
      <c r="BH176" s="374"/>
      <c r="BI176" s="375"/>
      <c r="BJ176" s="371">
        <v>0</v>
      </c>
      <c r="BK176" s="372"/>
      <c r="BL176" s="373"/>
      <c r="BM176" s="374"/>
      <c r="BN176" s="375"/>
      <c r="BO176" s="371">
        <v>0</v>
      </c>
      <c r="BP176" s="372"/>
      <c r="BQ176" s="373"/>
      <c r="BR176" s="374"/>
      <c r="BS176" s="375"/>
      <c r="BT176" s="371">
        <f>SUM(L176:BO176)</f>
        <v>0</v>
      </c>
      <c r="BU176" s="372"/>
      <c r="BV176" s="373"/>
      <c r="BW176" s="9"/>
    </row>
    <row r="177" spans="4:75" hidden="1" x14ac:dyDescent="0.2">
      <c r="D177" s="9" t="s">
        <v>467</v>
      </c>
      <c r="E177" s="156"/>
      <c r="F177" s="320"/>
      <c r="G177" s="385">
        <v>0</v>
      </c>
      <c r="H177" s="386"/>
      <c r="I177" s="373"/>
      <c r="J177" s="374"/>
      <c r="K177" s="387"/>
      <c r="L177" s="385">
        <v>0</v>
      </c>
      <c r="M177" s="386"/>
      <c r="N177" s="373"/>
      <c r="O177" s="374"/>
      <c r="P177" s="387"/>
      <c r="Q177" s="385">
        <v>0</v>
      </c>
      <c r="R177" s="386"/>
      <c r="S177" s="373"/>
      <c r="T177" s="374"/>
      <c r="U177" s="387"/>
      <c r="V177" s="385">
        <v>0</v>
      </c>
      <c r="W177" s="386"/>
      <c r="X177" s="373"/>
      <c r="Y177" s="374"/>
      <c r="Z177" s="387"/>
      <c r="AA177" s="385">
        <v>0</v>
      </c>
      <c r="AB177" s="386"/>
      <c r="AC177" s="373"/>
      <c r="AD177" s="374"/>
      <c r="AE177" s="387"/>
      <c r="AF177" s="385">
        <v>0</v>
      </c>
      <c r="AG177" s="386"/>
      <c r="AH177" s="373"/>
      <c r="AI177" s="374"/>
      <c r="AJ177" s="387"/>
      <c r="AK177" s="385">
        <v>0</v>
      </c>
      <c r="AL177" s="386"/>
      <c r="AM177" s="373"/>
      <c r="AN177" s="374"/>
      <c r="AO177" s="387"/>
      <c r="AP177" s="385">
        <v>0</v>
      </c>
      <c r="AQ177" s="386"/>
      <c r="AR177" s="373"/>
      <c r="AS177" s="374"/>
      <c r="AT177" s="387"/>
      <c r="AU177" s="385">
        <v>0</v>
      </c>
      <c r="AV177" s="386"/>
      <c r="AW177" s="373"/>
      <c r="AX177" s="374"/>
      <c r="AY177" s="387"/>
      <c r="AZ177" s="385">
        <v>0</v>
      </c>
      <c r="BA177" s="386"/>
      <c r="BB177" s="373"/>
      <c r="BC177" s="374"/>
      <c r="BD177" s="387"/>
      <c r="BE177" s="385">
        <v>0</v>
      </c>
      <c r="BF177" s="386"/>
      <c r="BG177" s="373"/>
      <c r="BH177" s="374"/>
      <c r="BI177" s="387"/>
      <c r="BJ177" s="385">
        <v>0</v>
      </c>
      <c r="BK177" s="386"/>
      <c r="BL177" s="373"/>
      <c r="BM177" s="374"/>
      <c r="BN177" s="387"/>
      <c r="BO177" s="385">
        <v>0</v>
      </c>
      <c r="BP177" s="386"/>
      <c r="BQ177" s="373"/>
      <c r="BR177" s="374"/>
      <c r="BS177" s="387"/>
      <c r="BT177" s="385">
        <f>SUM(L177:BO177)</f>
        <v>0</v>
      </c>
      <c r="BU177" s="386"/>
      <c r="BV177" s="373"/>
      <c r="BW177" s="9"/>
    </row>
    <row r="178" spans="4:75" hidden="1" x14ac:dyDescent="0.2">
      <c r="D178" s="9"/>
      <c r="E178" s="156"/>
      <c r="G178" s="373"/>
      <c r="H178" s="373"/>
      <c r="I178" s="373"/>
      <c r="J178" s="374"/>
      <c r="K178" s="373"/>
      <c r="L178" s="373"/>
      <c r="M178" s="373"/>
      <c r="N178" s="373"/>
      <c r="O178" s="374"/>
      <c r="P178" s="373"/>
      <c r="Q178" s="373"/>
      <c r="R178" s="373"/>
      <c r="S178" s="373"/>
      <c r="T178" s="374"/>
      <c r="U178" s="373"/>
      <c r="V178" s="373"/>
      <c r="W178" s="373"/>
      <c r="X178" s="373"/>
      <c r="Y178" s="374"/>
      <c r="Z178" s="373"/>
      <c r="AA178" s="373"/>
      <c r="AB178" s="373"/>
      <c r="AC178" s="373"/>
      <c r="AD178" s="374"/>
      <c r="AE178" s="373"/>
      <c r="AF178" s="373"/>
      <c r="AG178" s="373"/>
      <c r="AH178" s="373"/>
      <c r="AI178" s="374"/>
      <c r="AJ178" s="373"/>
      <c r="AK178" s="373"/>
      <c r="AL178" s="373"/>
      <c r="AM178" s="373"/>
      <c r="AN178" s="374"/>
      <c r="AO178" s="373"/>
      <c r="AP178" s="373"/>
      <c r="AQ178" s="373"/>
      <c r="AR178" s="373"/>
      <c r="AS178" s="374"/>
      <c r="AT178" s="373"/>
      <c r="AU178" s="373"/>
      <c r="AV178" s="373"/>
      <c r="AW178" s="373"/>
      <c r="AX178" s="374"/>
      <c r="AY178" s="373"/>
      <c r="AZ178" s="373"/>
      <c r="BA178" s="373"/>
      <c r="BB178" s="373"/>
      <c r="BC178" s="374"/>
      <c r="BD178" s="373"/>
      <c r="BE178" s="373"/>
      <c r="BF178" s="373"/>
      <c r="BG178" s="373"/>
      <c r="BH178" s="374"/>
      <c r="BI178" s="373"/>
      <c r="BJ178" s="373"/>
      <c r="BK178" s="373"/>
      <c r="BL178" s="373"/>
      <c r="BM178" s="374"/>
      <c r="BN178" s="373"/>
      <c r="BO178" s="373"/>
      <c r="BP178" s="373"/>
      <c r="BQ178" s="373"/>
      <c r="BR178" s="374"/>
      <c r="BS178" s="373"/>
      <c r="BT178" s="373"/>
      <c r="BU178" s="373"/>
      <c r="BV178" s="373"/>
      <c r="BW178" s="9"/>
    </row>
    <row r="179" spans="4:75" hidden="1" x14ac:dyDescent="0.2">
      <c r="D179" s="9" t="s">
        <v>485</v>
      </c>
      <c r="E179" s="156"/>
      <c r="G179" s="373">
        <f>SUM(G180:G181)</f>
        <v>0</v>
      </c>
      <c r="H179" s="373"/>
      <c r="I179" s="373"/>
      <c r="J179" s="374"/>
      <c r="K179" s="373"/>
      <c r="L179" s="373">
        <f>SUM(L180:L181)</f>
        <v>0</v>
      </c>
      <c r="M179" s="373"/>
      <c r="N179" s="373"/>
      <c r="O179" s="374"/>
      <c r="P179" s="373"/>
      <c r="Q179" s="373">
        <f>SUM(Q180:Q181)</f>
        <v>0</v>
      </c>
      <c r="R179" s="373"/>
      <c r="S179" s="373"/>
      <c r="T179" s="374"/>
      <c r="U179" s="373"/>
      <c r="V179" s="373">
        <f>SUM(V180:V181)</f>
        <v>0</v>
      </c>
      <c r="W179" s="373"/>
      <c r="X179" s="373"/>
      <c r="Y179" s="374"/>
      <c r="Z179" s="373"/>
      <c r="AA179" s="373">
        <f>SUM(AA180:AA181)</f>
        <v>0</v>
      </c>
      <c r="AB179" s="373"/>
      <c r="AC179" s="373"/>
      <c r="AD179" s="374"/>
      <c r="AE179" s="373"/>
      <c r="AF179" s="373">
        <f>SUM(AF180:AF181)</f>
        <v>0</v>
      </c>
      <c r="AG179" s="373"/>
      <c r="AH179" s="373"/>
      <c r="AI179" s="374"/>
      <c r="AJ179" s="373"/>
      <c r="AK179" s="373">
        <f>SUM(AK180:AK181)</f>
        <v>0</v>
      </c>
      <c r="AL179" s="373"/>
      <c r="AM179" s="373"/>
      <c r="AN179" s="374"/>
      <c r="AO179" s="373"/>
      <c r="AP179" s="373">
        <f>SUM(AP180:AP181)</f>
        <v>0</v>
      </c>
      <c r="AQ179" s="373"/>
      <c r="AR179" s="373"/>
      <c r="AS179" s="374"/>
      <c r="AT179" s="373"/>
      <c r="AU179" s="373">
        <f>SUM(AU180:AU181)</f>
        <v>0</v>
      </c>
      <c r="AV179" s="373"/>
      <c r="AW179" s="373"/>
      <c r="AX179" s="374"/>
      <c r="AY179" s="373"/>
      <c r="AZ179" s="373">
        <f>SUM(AZ180:AZ181)</f>
        <v>0</v>
      </c>
      <c r="BA179" s="373"/>
      <c r="BB179" s="373"/>
      <c r="BC179" s="374"/>
      <c r="BD179" s="373"/>
      <c r="BE179" s="373">
        <f>SUM(BE180:BE181)</f>
        <v>0</v>
      </c>
      <c r="BF179" s="373"/>
      <c r="BG179" s="373"/>
      <c r="BH179" s="374"/>
      <c r="BI179" s="373"/>
      <c r="BJ179" s="373">
        <f>SUM(BJ180:BJ181)</f>
        <v>0</v>
      </c>
      <c r="BK179" s="373"/>
      <c r="BL179" s="373"/>
      <c r="BM179" s="374"/>
      <c r="BN179" s="373"/>
      <c r="BO179" s="373">
        <f>SUM(BO180:BO181)</f>
        <v>0</v>
      </c>
      <c r="BP179" s="373"/>
      <c r="BQ179" s="373"/>
      <c r="BR179" s="374"/>
      <c r="BS179" s="373"/>
      <c r="BT179" s="373">
        <f>SUM(BT180:BT181)</f>
        <v>0</v>
      </c>
      <c r="BU179" s="373"/>
      <c r="BV179" s="373"/>
      <c r="BW179" s="9"/>
    </row>
    <row r="180" spans="4:75" hidden="1" x14ac:dyDescent="0.2">
      <c r="D180" s="9" t="s">
        <v>466</v>
      </c>
      <c r="E180" s="156"/>
      <c r="F180" s="309"/>
      <c r="G180" s="371">
        <v>0</v>
      </c>
      <c r="H180" s="372"/>
      <c r="I180" s="373"/>
      <c r="J180" s="374"/>
      <c r="K180" s="375"/>
      <c r="L180" s="371">
        <v>0</v>
      </c>
      <c r="M180" s="372"/>
      <c r="N180" s="373"/>
      <c r="O180" s="374"/>
      <c r="P180" s="375"/>
      <c r="Q180" s="371">
        <v>0</v>
      </c>
      <c r="R180" s="372"/>
      <c r="S180" s="373"/>
      <c r="T180" s="374"/>
      <c r="U180" s="375"/>
      <c r="V180" s="371">
        <v>0</v>
      </c>
      <c r="W180" s="372"/>
      <c r="X180" s="373"/>
      <c r="Y180" s="374"/>
      <c r="Z180" s="375"/>
      <c r="AA180" s="371">
        <v>0</v>
      </c>
      <c r="AB180" s="372"/>
      <c r="AC180" s="373"/>
      <c r="AD180" s="374"/>
      <c r="AE180" s="375"/>
      <c r="AF180" s="371">
        <v>0</v>
      </c>
      <c r="AG180" s="372"/>
      <c r="AH180" s="373"/>
      <c r="AI180" s="374"/>
      <c r="AJ180" s="375"/>
      <c r="AK180" s="371">
        <v>0</v>
      </c>
      <c r="AL180" s="372"/>
      <c r="AM180" s="373"/>
      <c r="AN180" s="374"/>
      <c r="AO180" s="375"/>
      <c r="AP180" s="371">
        <v>0</v>
      </c>
      <c r="AQ180" s="372"/>
      <c r="AR180" s="373"/>
      <c r="AS180" s="374"/>
      <c r="AT180" s="375"/>
      <c r="AU180" s="371">
        <v>0</v>
      </c>
      <c r="AV180" s="372"/>
      <c r="AW180" s="373"/>
      <c r="AX180" s="374"/>
      <c r="AY180" s="375"/>
      <c r="AZ180" s="371">
        <v>0</v>
      </c>
      <c r="BA180" s="372"/>
      <c r="BB180" s="373"/>
      <c r="BC180" s="374"/>
      <c r="BD180" s="375"/>
      <c r="BE180" s="371">
        <v>0</v>
      </c>
      <c r="BF180" s="372"/>
      <c r="BG180" s="373"/>
      <c r="BH180" s="374"/>
      <c r="BI180" s="375"/>
      <c r="BJ180" s="371">
        <v>0</v>
      </c>
      <c r="BK180" s="372"/>
      <c r="BL180" s="373"/>
      <c r="BM180" s="374"/>
      <c r="BN180" s="375"/>
      <c r="BO180" s="371">
        <v>0</v>
      </c>
      <c r="BP180" s="372"/>
      <c r="BQ180" s="373"/>
      <c r="BR180" s="374"/>
      <c r="BS180" s="375"/>
      <c r="BT180" s="371">
        <f>SUM(L180:BO180)</f>
        <v>0</v>
      </c>
      <c r="BU180" s="372"/>
      <c r="BV180" s="373"/>
      <c r="BW180" s="9"/>
    </row>
    <row r="181" spans="4:75" hidden="1" x14ac:dyDescent="0.2">
      <c r="D181" s="9" t="s">
        <v>467</v>
      </c>
      <c r="E181" s="156"/>
      <c r="F181" s="320"/>
      <c r="G181" s="385">
        <v>0</v>
      </c>
      <c r="H181" s="386"/>
      <c r="I181" s="373"/>
      <c r="J181" s="374"/>
      <c r="K181" s="387"/>
      <c r="L181" s="385">
        <v>0</v>
      </c>
      <c r="M181" s="386"/>
      <c r="N181" s="373"/>
      <c r="O181" s="374"/>
      <c r="P181" s="387"/>
      <c r="Q181" s="385">
        <v>0</v>
      </c>
      <c r="R181" s="386"/>
      <c r="S181" s="373"/>
      <c r="T181" s="374"/>
      <c r="U181" s="387"/>
      <c r="V181" s="385">
        <v>0</v>
      </c>
      <c r="W181" s="386"/>
      <c r="X181" s="373"/>
      <c r="Y181" s="374"/>
      <c r="Z181" s="387"/>
      <c r="AA181" s="385">
        <v>0</v>
      </c>
      <c r="AB181" s="386"/>
      <c r="AC181" s="373"/>
      <c r="AD181" s="374"/>
      <c r="AE181" s="387"/>
      <c r="AF181" s="385">
        <v>0</v>
      </c>
      <c r="AG181" s="386"/>
      <c r="AH181" s="373"/>
      <c r="AI181" s="374"/>
      <c r="AJ181" s="387"/>
      <c r="AK181" s="385">
        <v>0</v>
      </c>
      <c r="AL181" s="386"/>
      <c r="AM181" s="373"/>
      <c r="AN181" s="374"/>
      <c r="AO181" s="387"/>
      <c r="AP181" s="385">
        <v>0</v>
      </c>
      <c r="AQ181" s="386"/>
      <c r="AR181" s="373"/>
      <c r="AS181" s="374"/>
      <c r="AT181" s="387"/>
      <c r="AU181" s="385">
        <v>0</v>
      </c>
      <c r="AV181" s="386"/>
      <c r="AW181" s="373"/>
      <c r="AX181" s="374"/>
      <c r="AY181" s="387"/>
      <c r="AZ181" s="385">
        <v>0</v>
      </c>
      <c r="BA181" s="386"/>
      <c r="BB181" s="373"/>
      <c r="BC181" s="374"/>
      <c r="BD181" s="387"/>
      <c r="BE181" s="385">
        <v>0</v>
      </c>
      <c r="BF181" s="386"/>
      <c r="BG181" s="373"/>
      <c r="BH181" s="374"/>
      <c r="BI181" s="387"/>
      <c r="BJ181" s="385">
        <v>0</v>
      </c>
      <c r="BK181" s="386"/>
      <c r="BL181" s="373"/>
      <c r="BM181" s="374"/>
      <c r="BN181" s="387"/>
      <c r="BO181" s="385">
        <v>0</v>
      </c>
      <c r="BP181" s="386"/>
      <c r="BQ181" s="373"/>
      <c r="BR181" s="374"/>
      <c r="BS181" s="387"/>
      <c r="BT181" s="385">
        <f>SUM(L181:BO181)</f>
        <v>0</v>
      </c>
      <c r="BU181" s="386"/>
      <c r="BV181" s="373"/>
      <c r="BW181" s="9"/>
    </row>
    <row r="182" spans="4:75" hidden="1" x14ac:dyDescent="0.2">
      <c r="D182" s="9"/>
      <c r="E182" s="156"/>
      <c r="G182" s="373"/>
      <c r="H182" s="373"/>
      <c r="I182" s="373"/>
      <c r="J182" s="374"/>
      <c r="K182" s="373"/>
      <c r="L182" s="373"/>
      <c r="M182" s="373"/>
      <c r="N182" s="373"/>
      <c r="O182" s="374"/>
      <c r="P182" s="373"/>
      <c r="Q182" s="373"/>
      <c r="R182" s="373"/>
      <c r="S182" s="373"/>
      <c r="T182" s="374"/>
      <c r="U182" s="373"/>
      <c r="V182" s="373"/>
      <c r="W182" s="373"/>
      <c r="X182" s="373"/>
      <c r="Y182" s="374"/>
      <c r="Z182" s="373"/>
      <c r="AA182" s="373"/>
      <c r="AB182" s="373"/>
      <c r="AC182" s="373"/>
      <c r="AD182" s="374"/>
      <c r="AE182" s="373"/>
      <c r="AF182" s="373"/>
      <c r="AG182" s="373"/>
      <c r="AH182" s="373"/>
      <c r="AI182" s="374"/>
      <c r="AJ182" s="373"/>
      <c r="AK182" s="373"/>
      <c r="AL182" s="373"/>
      <c r="AM182" s="373"/>
      <c r="AN182" s="374"/>
      <c r="AO182" s="373"/>
      <c r="AP182" s="373"/>
      <c r="AQ182" s="373"/>
      <c r="AR182" s="373"/>
      <c r="AS182" s="374"/>
      <c r="AT182" s="373"/>
      <c r="AU182" s="373"/>
      <c r="AV182" s="373"/>
      <c r="AW182" s="373"/>
      <c r="AX182" s="374"/>
      <c r="AY182" s="373"/>
      <c r="AZ182" s="373"/>
      <c r="BA182" s="373"/>
      <c r="BB182" s="373"/>
      <c r="BC182" s="374"/>
      <c r="BD182" s="373"/>
      <c r="BE182" s="373"/>
      <c r="BF182" s="373"/>
      <c r="BG182" s="373"/>
      <c r="BH182" s="374"/>
      <c r="BI182" s="373"/>
      <c r="BJ182" s="373"/>
      <c r="BK182" s="373"/>
      <c r="BL182" s="373"/>
      <c r="BM182" s="374"/>
      <c r="BN182" s="373"/>
      <c r="BO182" s="373"/>
      <c r="BP182" s="373"/>
      <c r="BQ182" s="373"/>
      <c r="BR182" s="374"/>
      <c r="BS182" s="373"/>
      <c r="BT182" s="373"/>
      <c r="BU182" s="373"/>
      <c r="BV182" s="373"/>
      <c r="BW182" s="9"/>
    </row>
    <row r="183" spans="4:75" hidden="1" x14ac:dyDescent="0.2">
      <c r="D183" s="9" t="s">
        <v>486</v>
      </c>
      <c r="E183" s="156"/>
      <c r="G183" s="373">
        <f>SUM(G184:G185)</f>
        <v>0</v>
      </c>
      <c r="H183" s="373"/>
      <c r="I183" s="373"/>
      <c r="J183" s="374"/>
      <c r="K183" s="373"/>
      <c r="L183" s="373">
        <f>SUM(L184:L185)</f>
        <v>0</v>
      </c>
      <c r="M183" s="373"/>
      <c r="N183" s="373"/>
      <c r="O183" s="374"/>
      <c r="P183" s="373"/>
      <c r="Q183" s="373">
        <f>SUM(Q184:Q185)</f>
        <v>0</v>
      </c>
      <c r="R183" s="373"/>
      <c r="S183" s="373"/>
      <c r="T183" s="374"/>
      <c r="U183" s="373"/>
      <c r="V183" s="373">
        <f>SUM(V184:V185)</f>
        <v>0</v>
      </c>
      <c r="W183" s="373"/>
      <c r="X183" s="373"/>
      <c r="Y183" s="374"/>
      <c r="Z183" s="373"/>
      <c r="AA183" s="373">
        <f>SUM(AA184:AA185)</f>
        <v>0</v>
      </c>
      <c r="AB183" s="373"/>
      <c r="AC183" s="373"/>
      <c r="AD183" s="374"/>
      <c r="AE183" s="373"/>
      <c r="AF183" s="373">
        <f>SUM(AF184:AF185)</f>
        <v>0</v>
      </c>
      <c r="AG183" s="373"/>
      <c r="AH183" s="373"/>
      <c r="AI183" s="374"/>
      <c r="AJ183" s="373"/>
      <c r="AK183" s="373">
        <f>SUM(AK184:AK185)</f>
        <v>0</v>
      </c>
      <c r="AL183" s="373"/>
      <c r="AM183" s="373"/>
      <c r="AN183" s="374"/>
      <c r="AO183" s="373"/>
      <c r="AP183" s="373">
        <f>SUM(AP184:AP185)</f>
        <v>0</v>
      </c>
      <c r="AQ183" s="373"/>
      <c r="AR183" s="373"/>
      <c r="AS183" s="374"/>
      <c r="AT183" s="373"/>
      <c r="AU183" s="373">
        <f>SUM(AU184:AU185)</f>
        <v>0</v>
      </c>
      <c r="AV183" s="373"/>
      <c r="AW183" s="373"/>
      <c r="AX183" s="374"/>
      <c r="AY183" s="373"/>
      <c r="AZ183" s="373">
        <f>SUM(AZ184:AZ185)</f>
        <v>0</v>
      </c>
      <c r="BA183" s="373"/>
      <c r="BB183" s="373"/>
      <c r="BC183" s="374"/>
      <c r="BD183" s="373"/>
      <c r="BE183" s="373">
        <f>SUM(BE184:BE185)</f>
        <v>0</v>
      </c>
      <c r="BF183" s="373"/>
      <c r="BG183" s="373"/>
      <c r="BH183" s="374"/>
      <c r="BI183" s="373"/>
      <c r="BJ183" s="373">
        <f>SUM(BJ184:BJ185)</f>
        <v>0</v>
      </c>
      <c r="BK183" s="373"/>
      <c r="BL183" s="373"/>
      <c r="BM183" s="374"/>
      <c r="BN183" s="373"/>
      <c r="BO183" s="373">
        <f>SUM(BO184:BO185)</f>
        <v>0</v>
      </c>
      <c r="BP183" s="373"/>
      <c r="BQ183" s="373"/>
      <c r="BR183" s="374"/>
      <c r="BS183" s="373"/>
      <c r="BT183" s="373">
        <f>SUM(BT184:BT185)</f>
        <v>0</v>
      </c>
      <c r="BU183" s="373"/>
      <c r="BV183" s="373"/>
      <c r="BW183" s="9"/>
    </row>
    <row r="184" spans="4:75" hidden="1" x14ac:dyDescent="0.2">
      <c r="D184" s="9" t="s">
        <v>466</v>
      </c>
      <c r="E184" s="156"/>
      <c r="F184" s="309"/>
      <c r="G184" s="371">
        <v>0</v>
      </c>
      <c r="H184" s="372"/>
      <c r="I184" s="373"/>
      <c r="J184" s="374"/>
      <c r="K184" s="375"/>
      <c r="L184" s="371">
        <v>0</v>
      </c>
      <c r="M184" s="372"/>
      <c r="N184" s="373"/>
      <c r="O184" s="374"/>
      <c r="P184" s="375"/>
      <c r="Q184" s="371">
        <v>0</v>
      </c>
      <c r="R184" s="372"/>
      <c r="S184" s="373"/>
      <c r="T184" s="374"/>
      <c r="U184" s="375"/>
      <c r="V184" s="371">
        <v>0</v>
      </c>
      <c r="W184" s="372"/>
      <c r="X184" s="373"/>
      <c r="Y184" s="374"/>
      <c r="Z184" s="375"/>
      <c r="AA184" s="371">
        <v>0</v>
      </c>
      <c r="AB184" s="372"/>
      <c r="AC184" s="373"/>
      <c r="AD184" s="374"/>
      <c r="AE184" s="375"/>
      <c r="AF184" s="371">
        <v>0</v>
      </c>
      <c r="AG184" s="372"/>
      <c r="AH184" s="373"/>
      <c r="AI184" s="374"/>
      <c r="AJ184" s="375"/>
      <c r="AK184" s="371">
        <v>0</v>
      </c>
      <c r="AL184" s="372"/>
      <c r="AM184" s="373"/>
      <c r="AN184" s="374"/>
      <c r="AO184" s="375"/>
      <c r="AP184" s="371">
        <v>0</v>
      </c>
      <c r="AQ184" s="372"/>
      <c r="AR184" s="373"/>
      <c r="AS184" s="374"/>
      <c r="AT184" s="375"/>
      <c r="AU184" s="371">
        <v>0</v>
      </c>
      <c r="AV184" s="372"/>
      <c r="AW184" s="373"/>
      <c r="AX184" s="374"/>
      <c r="AY184" s="375"/>
      <c r="AZ184" s="371">
        <v>0</v>
      </c>
      <c r="BA184" s="372"/>
      <c r="BB184" s="373"/>
      <c r="BC184" s="374"/>
      <c r="BD184" s="375"/>
      <c r="BE184" s="371">
        <v>0</v>
      </c>
      <c r="BF184" s="372"/>
      <c r="BG184" s="373"/>
      <c r="BH184" s="374"/>
      <c r="BI184" s="375"/>
      <c r="BJ184" s="371">
        <v>0</v>
      </c>
      <c r="BK184" s="372"/>
      <c r="BL184" s="373"/>
      <c r="BM184" s="374"/>
      <c r="BN184" s="375"/>
      <c r="BO184" s="371">
        <v>0</v>
      </c>
      <c r="BP184" s="372"/>
      <c r="BQ184" s="373"/>
      <c r="BR184" s="374"/>
      <c r="BS184" s="375"/>
      <c r="BT184" s="371">
        <f>SUM(L184:BO184)</f>
        <v>0</v>
      </c>
      <c r="BU184" s="372"/>
      <c r="BV184" s="373"/>
      <c r="BW184" s="9"/>
    </row>
    <row r="185" spans="4:75" hidden="1" x14ac:dyDescent="0.2">
      <c r="D185" s="9" t="s">
        <v>467</v>
      </c>
      <c r="E185" s="156"/>
      <c r="F185" s="320"/>
      <c r="G185" s="385">
        <v>0</v>
      </c>
      <c r="H185" s="386"/>
      <c r="I185" s="373"/>
      <c r="J185" s="374"/>
      <c r="K185" s="387"/>
      <c r="L185" s="385">
        <v>0</v>
      </c>
      <c r="M185" s="386"/>
      <c r="N185" s="373"/>
      <c r="O185" s="374"/>
      <c r="P185" s="387"/>
      <c r="Q185" s="385">
        <v>0</v>
      </c>
      <c r="R185" s="386"/>
      <c r="S185" s="373"/>
      <c r="T185" s="374"/>
      <c r="U185" s="387"/>
      <c r="V185" s="385">
        <v>0</v>
      </c>
      <c r="W185" s="386"/>
      <c r="X185" s="373"/>
      <c r="Y185" s="374"/>
      <c r="Z185" s="387"/>
      <c r="AA185" s="385">
        <v>0</v>
      </c>
      <c r="AB185" s="386"/>
      <c r="AC185" s="373"/>
      <c r="AD185" s="374"/>
      <c r="AE185" s="387"/>
      <c r="AF185" s="385">
        <v>0</v>
      </c>
      <c r="AG185" s="386"/>
      <c r="AH185" s="373"/>
      <c r="AI185" s="374"/>
      <c r="AJ185" s="387"/>
      <c r="AK185" s="385">
        <v>0</v>
      </c>
      <c r="AL185" s="386"/>
      <c r="AM185" s="373"/>
      <c r="AN185" s="374"/>
      <c r="AO185" s="387"/>
      <c r="AP185" s="385">
        <v>0</v>
      </c>
      <c r="AQ185" s="386"/>
      <c r="AR185" s="373"/>
      <c r="AS185" s="374"/>
      <c r="AT185" s="387"/>
      <c r="AU185" s="385">
        <v>0</v>
      </c>
      <c r="AV185" s="386"/>
      <c r="AW185" s="373"/>
      <c r="AX185" s="374"/>
      <c r="AY185" s="387"/>
      <c r="AZ185" s="385">
        <v>0</v>
      </c>
      <c r="BA185" s="386"/>
      <c r="BB185" s="373"/>
      <c r="BC185" s="374"/>
      <c r="BD185" s="387"/>
      <c r="BE185" s="385">
        <v>0</v>
      </c>
      <c r="BF185" s="386"/>
      <c r="BG185" s="373"/>
      <c r="BH185" s="374"/>
      <c r="BI185" s="387"/>
      <c r="BJ185" s="385">
        <v>0</v>
      </c>
      <c r="BK185" s="386"/>
      <c r="BL185" s="373"/>
      <c r="BM185" s="374"/>
      <c r="BN185" s="387"/>
      <c r="BO185" s="385">
        <v>0</v>
      </c>
      <c r="BP185" s="386"/>
      <c r="BQ185" s="373"/>
      <c r="BR185" s="374"/>
      <c r="BS185" s="387"/>
      <c r="BT185" s="385">
        <f>SUM(L185:BO185)</f>
        <v>0</v>
      </c>
      <c r="BU185" s="386"/>
      <c r="BV185" s="373"/>
      <c r="BW185" s="9"/>
    </row>
    <row r="186" spans="4:75" hidden="1" x14ac:dyDescent="0.2">
      <c r="D186" s="9"/>
      <c r="E186" s="156"/>
      <c r="G186" s="373"/>
      <c r="H186" s="373"/>
      <c r="I186" s="373"/>
      <c r="J186" s="374"/>
      <c r="K186" s="373"/>
      <c r="L186" s="373"/>
      <c r="M186" s="373"/>
      <c r="N186" s="373"/>
      <c r="O186" s="374"/>
      <c r="P186" s="373"/>
      <c r="Q186" s="373"/>
      <c r="R186" s="373"/>
      <c r="S186" s="373"/>
      <c r="T186" s="374"/>
      <c r="U186" s="373"/>
      <c r="V186" s="373"/>
      <c r="W186" s="373"/>
      <c r="X186" s="373"/>
      <c r="Y186" s="374"/>
      <c r="Z186" s="373"/>
      <c r="AA186" s="373"/>
      <c r="AB186" s="373"/>
      <c r="AC186" s="373"/>
      <c r="AD186" s="374"/>
      <c r="AE186" s="373"/>
      <c r="AF186" s="373"/>
      <c r="AG186" s="373"/>
      <c r="AH186" s="373"/>
      <c r="AI186" s="374"/>
      <c r="AJ186" s="373"/>
      <c r="AK186" s="373"/>
      <c r="AL186" s="373"/>
      <c r="AM186" s="373"/>
      <c r="AN186" s="374"/>
      <c r="AO186" s="373"/>
      <c r="AP186" s="373"/>
      <c r="AQ186" s="373"/>
      <c r="AR186" s="373"/>
      <c r="AS186" s="374"/>
      <c r="AT186" s="373"/>
      <c r="AU186" s="373"/>
      <c r="AV186" s="373"/>
      <c r="AW186" s="373"/>
      <c r="AX186" s="374"/>
      <c r="AY186" s="373"/>
      <c r="AZ186" s="373"/>
      <c r="BA186" s="373"/>
      <c r="BB186" s="373"/>
      <c r="BC186" s="374"/>
      <c r="BD186" s="373"/>
      <c r="BE186" s="373"/>
      <c r="BF186" s="373"/>
      <c r="BG186" s="373"/>
      <c r="BH186" s="374"/>
      <c r="BI186" s="373"/>
      <c r="BJ186" s="373"/>
      <c r="BK186" s="373"/>
      <c r="BL186" s="373"/>
      <c r="BM186" s="374"/>
      <c r="BN186" s="373"/>
      <c r="BO186" s="373"/>
      <c r="BP186" s="373"/>
      <c r="BQ186" s="373"/>
      <c r="BR186" s="374"/>
      <c r="BS186" s="373"/>
      <c r="BT186" s="373"/>
      <c r="BU186" s="373"/>
      <c r="BV186" s="373"/>
      <c r="BW186" s="9"/>
    </row>
    <row r="187" spans="4:75" x14ac:dyDescent="0.2">
      <c r="D187" s="98"/>
      <c r="E187" s="390"/>
      <c r="F187" s="3"/>
      <c r="G187" s="391"/>
      <c r="H187" s="391"/>
      <c r="I187" s="391"/>
      <c r="J187" s="392"/>
      <c r="K187" s="391"/>
      <c r="L187" s="391"/>
      <c r="M187" s="391"/>
      <c r="N187" s="391"/>
      <c r="O187" s="392"/>
      <c r="P187" s="391"/>
      <c r="Q187" s="391"/>
      <c r="R187" s="391"/>
      <c r="S187" s="391"/>
      <c r="T187" s="392"/>
      <c r="U187" s="391"/>
      <c r="V187" s="391"/>
      <c r="W187" s="391"/>
      <c r="X187" s="391"/>
      <c r="Y187" s="392"/>
      <c r="Z187" s="391"/>
      <c r="AA187" s="391"/>
      <c r="AB187" s="391"/>
      <c r="AC187" s="391"/>
      <c r="AD187" s="392"/>
      <c r="AE187" s="391"/>
      <c r="AF187" s="391"/>
      <c r="AG187" s="391"/>
      <c r="AH187" s="391"/>
      <c r="AI187" s="392"/>
      <c r="AJ187" s="391"/>
      <c r="AK187" s="391"/>
      <c r="AL187" s="391"/>
      <c r="AM187" s="391"/>
      <c r="AN187" s="392"/>
      <c r="AO187" s="391"/>
      <c r="AP187" s="391"/>
      <c r="AQ187" s="391"/>
      <c r="AR187" s="391"/>
      <c r="AS187" s="392"/>
      <c r="AT187" s="391"/>
      <c r="AU187" s="391"/>
      <c r="AV187" s="391"/>
      <c r="AW187" s="391"/>
      <c r="AX187" s="392"/>
      <c r="AY187" s="391"/>
      <c r="AZ187" s="391"/>
      <c r="BA187" s="391"/>
      <c r="BB187" s="391"/>
      <c r="BC187" s="392"/>
      <c r="BD187" s="391"/>
      <c r="BE187" s="391"/>
      <c r="BF187" s="391"/>
      <c r="BG187" s="391"/>
      <c r="BH187" s="392"/>
      <c r="BI187" s="391"/>
      <c r="BJ187" s="391"/>
      <c r="BK187" s="391"/>
      <c r="BL187" s="391"/>
      <c r="BM187" s="392"/>
      <c r="BN187" s="391"/>
      <c r="BO187" s="391"/>
      <c r="BP187" s="391"/>
      <c r="BQ187" s="391"/>
      <c r="BR187" s="392"/>
      <c r="BS187" s="391"/>
      <c r="BT187" s="391"/>
      <c r="BU187" s="391"/>
      <c r="BV187" s="391"/>
      <c r="BW187" s="9"/>
    </row>
    <row r="188" spans="4:75" x14ac:dyDescent="0.2">
      <c r="G188" s="373"/>
      <c r="H188" s="373"/>
      <c r="I188" s="373"/>
      <c r="J188" s="373"/>
      <c r="K188" s="373"/>
      <c r="L188" s="373"/>
      <c r="M188" s="373"/>
      <c r="N188" s="373"/>
      <c r="O188" s="373"/>
      <c r="P188" s="373"/>
      <c r="Q188" s="373"/>
      <c r="R188" s="373"/>
      <c r="S188" s="373"/>
      <c r="T188" s="373"/>
      <c r="U188" s="373"/>
      <c r="V188" s="373"/>
      <c r="W188" s="373"/>
      <c r="X188" s="373"/>
      <c r="Y188" s="373"/>
      <c r="Z188" s="373"/>
      <c r="AA188" s="373"/>
      <c r="AB188" s="373"/>
      <c r="AC188" s="373"/>
      <c r="AD188" s="373"/>
      <c r="AE188" s="373"/>
      <c r="AF188" s="373"/>
      <c r="AG188" s="373"/>
      <c r="AH188" s="373"/>
      <c r="AI188" s="373"/>
      <c r="AJ188" s="373"/>
      <c r="AK188" s="373"/>
      <c r="AL188" s="373"/>
      <c r="AM188" s="373"/>
      <c r="AN188" s="373"/>
      <c r="AO188" s="373"/>
      <c r="AP188" s="373"/>
      <c r="AQ188" s="373"/>
      <c r="AR188" s="373"/>
      <c r="AS188" s="373"/>
      <c r="AT188" s="373"/>
      <c r="AU188" s="373"/>
      <c r="AV188" s="373"/>
      <c r="AW188" s="373"/>
      <c r="AX188" s="373"/>
      <c r="AY188" s="373"/>
      <c r="AZ188" s="373"/>
      <c r="BA188" s="373"/>
      <c r="BB188" s="373"/>
      <c r="BC188" s="373"/>
      <c r="BD188" s="373"/>
      <c r="BE188" s="373"/>
      <c r="BF188" s="373"/>
      <c r="BG188" s="373"/>
      <c r="BH188" s="373"/>
      <c r="BI188" s="373"/>
      <c r="BJ188" s="373"/>
      <c r="BK188" s="373"/>
      <c r="BL188" s="373"/>
      <c r="BM188" s="373"/>
      <c r="BN188" s="373"/>
      <c r="BO188" s="373"/>
      <c r="BP188" s="373"/>
      <c r="BQ188" s="373"/>
      <c r="BR188" s="373"/>
      <c r="BS188" s="373"/>
      <c r="BT188" s="373"/>
      <c r="BU188" s="373"/>
      <c r="BV188" s="373"/>
    </row>
    <row r="189" spans="4:75" ht="6" customHeight="1" x14ac:dyDescent="0.2">
      <c r="G189" s="373"/>
      <c r="H189" s="373"/>
      <c r="I189" s="373"/>
      <c r="J189" s="373"/>
      <c r="K189" s="373"/>
      <c r="L189" s="373"/>
      <c r="M189" s="373"/>
      <c r="N189" s="373"/>
      <c r="O189" s="373"/>
      <c r="P189" s="373"/>
      <c r="Q189" s="373"/>
      <c r="R189" s="373"/>
      <c r="S189" s="373"/>
      <c r="T189" s="373"/>
      <c r="U189" s="373"/>
      <c r="V189" s="373"/>
      <c r="W189" s="373"/>
      <c r="X189" s="373"/>
      <c r="Y189" s="373"/>
      <c r="Z189" s="373"/>
      <c r="AA189" s="373"/>
      <c r="AB189" s="373"/>
      <c r="AC189" s="373"/>
      <c r="AD189" s="373"/>
      <c r="AE189" s="373"/>
      <c r="AF189" s="373"/>
      <c r="AG189" s="373"/>
      <c r="AH189" s="373"/>
      <c r="AI189" s="373"/>
      <c r="AJ189" s="373"/>
      <c r="AK189" s="373"/>
      <c r="AL189" s="373"/>
      <c r="AM189" s="373"/>
      <c r="AN189" s="373"/>
      <c r="AO189" s="373"/>
      <c r="AP189" s="373"/>
      <c r="AQ189" s="373"/>
      <c r="AR189" s="373"/>
      <c r="AS189" s="373"/>
      <c r="AT189" s="373"/>
      <c r="AU189" s="373"/>
      <c r="AV189" s="373"/>
      <c r="AW189" s="373"/>
      <c r="AX189" s="373"/>
      <c r="AY189" s="373"/>
      <c r="AZ189" s="373"/>
      <c r="BA189" s="373"/>
      <c r="BB189" s="373"/>
      <c r="BC189" s="373"/>
      <c r="BD189" s="373"/>
      <c r="BE189" s="373"/>
      <c r="BF189" s="373"/>
      <c r="BG189" s="373"/>
      <c r="BH189" s="373"/>
      <c r="BI189" s="373"/>
      <c r="BJ189" s="373"/>
      <c r="BK189" s="373"/>
      <c r="BL189" s="373"/>
      <c r="BM189" s="373"/>
      <c r="BN189" s="373"/>
      <c r="BO189" s="373"/>
      <c r="BP189" s="373"/>
      <c r="BQ189" s="373"/>
      <c r="BR189" s="373"/>
      <c r="BS189" s="373"/>
      <c r="BT189" s="373"/>
      <c r="BU189" s="373"/>
      <c r="BV189" s="373"/>
    </row>
    <row r="190" spans="4:75" x14ac:dyDescent="0.2">
      <c r="G190" s="373"/>
      <c r="H190" s="373"/>
      <c r="I190" s="373"/>
      <c r="J190" s="373"/>
      <c r="K190" s="373"/>
      <c r="L190" s="373"/>
      <c r="M190" s="373"/>
      <c r="N190" s="373"/>
      <c r="O190" s="373"/>
      <c r="P190" s="373"/>
      <c r="Q190" s="373"/>
      <c r="R190" s="373"/>
      <c r="S190" s="373"/>
      <c r="T190" s="373"/>
      <c r="U190" s="373"/>
      <c r="V190" s="373"/>
      <c r="W190" s="373"/>
      <c r="X190" s="373"/>
      <c r="Y190" s="373"/>
      <c r="Z190" s="373"/>
      <c r="AA190" s="373"/>
      <c r="AB190" s="373"/>
      <c r="AC190" s="373"/>
      <c r="AD190" s="373"/>
      <c r="AE190" s="373"/>
      <c r="AF190" s="373"/>
      <c r="AG190" s="373"/>
      <c r="AH190" s="373"/>
      <c r="AI190" s="373"/>
      <c r="AJ190" s="373"/>
      <c r="AK190" s="373"/>
      <c r="AL190" s="373"/>
      <c r="AM190" s="373"/>
      <c r="AN190" s="373"/>
      <c r="AO190" s="373"/>
      <c r="AP190" s="373"/>
      <c r="AQ190" s="373"/>
      <c r="AR190" s="373"/>
      <c r="AS190" s="373"/>
      <c r="AT190" s="373"/>
      <c r="AU190" s="373"/>
      <c r="AV190" s="373"/>
      <c r="AW190" s="373"/>
      <c r="AX190" s="373"/>
      <c r="AY190" s="373"/>
      <c r="AZ190" s="373"/>
      <c r="BA190" s="373"/>
      <c r="BB190" s="373"/>
      <c r="BC190" s="373"/>
      <c r="BD190" s="373"/>
      <c r="BE190" s="373"/>
      <c r="BF190" s="373"/>
      <c r="BG190" s="373"/>
      <c r="BH190" s="373"/>
      <c r="BI190" s="373"/>
      <c r="BJ190" s="373"/>
      <c r="BK190" s="373"/>
      <c r="BL190" s="373"/>
      <c r="BM190" s="373"/>
      <c r="BN190" s="373"/>
      <c r="BO190" s="373"/>
      <c r="BP190" s="373"/>
      <c r="BQ190" s="373"/>
      <c r="BR190" s="373"/>
      <c r="BS190" s="373"/>
      <c r="BT190" s="373"/>
      <c r="BU190" s="373"/>
      <c r="BV190" s="373"/>
    </row>
    <row r="191" spans="4:75" x14ac:dyDescent="0.2">
      <c r="D191" s="32"/>
      <c r="E191" s="32"/>
      <c r="F191" s="32"/>
      <c r="G191" s="373"/>
      <c r="H191" s="373"/>
      <c r="I191" s="373"/>
      <c r="J191" s="373"/>
      <c r="K191" s="373"/>
      <c r="L191" s="373"/>
      <c r="M191" s="373"/>
      <c r="N191" s="373"/>
      <c r="O191" s="373"/>
      <c r="P191" s="373"/>
      <c r="Q191" s="373"/>
      <c r="R191" s="373"/>
      <c r="S191" s="373"/>
      <c r="T191" s="373"/>
      <c r="U191" s="373"/>
      <c r="V191" s="373"/>
      <c r="W191" s="373"/>
      <c r="X191" s="373"/>
      <c r="Y191" s="373"/>
      <c r="Z191" s="373"/>
      <c r="AA191" s="373"/>
      <c r="AB191" s="373"/>
      <c r="AC191" s="373"/>
      <c r="AD191" s="373"/>
      <c r="AE191" s="373"/>
      <c r="AF191" s="373"/>
      <c r="AG191" s="373"/>
      <c r="AH191" s="373"/>
      <c r="AI191" s="373"/>
      <c r="AJ191" s="373"/>
      <c r="AK191" s="373"/>
      <c r="AL191" s="373"/>
      <c r="AM191" s="373"/>
      <c r="AN191" s="373"/>
      <c r="AO191" s="373"/>
      <c r="AP191" s="373"/>
      <c r="AQ191" s="373"/>
      <c r="AR191" s="373"/>
      <c r="AS191" s="373"/>
      <c r="AT191" s="373"/>
      <c r="AU191" s="373"/>
      <c r="AV191" s="373"/>
      <c r="AW191" s="373"/>
      <c r="AX191" s="373"/>
      <c r="AY191" s="373"/>
      <c r="AZ191" s="373"/>
      <c r="BA191" s="373"/>
      <c r="BB191" s="373"/>
      <c r="BC191" s="373"/>
      <c r="BD191" s="373"/>
      <c r="BE191" s="373"/>
      <c r="BF191" s="373"/>
      <c r="BG191" s="373"/>
      <c r="BH191" s="373"/>
      <c r="BI191" s="373"/>
      <c r="BJ191" s="373"/>
      <c r="BK191" s="373"/>
      <c r="BL191" s="373"/>
      <c r="BM191" s="373"/>
      <c r="BN191" s="373"/>
      <c r="BO191" s="373"/>
      <c r="BP191" s="373"/>
      <c r="BQ191" s="373"/>
      <c r="BR191" s="373"/>
      <c r="BS191" s="373"/>
      <c r="BT191" s="373"/>
      <c r="BU191" s="373"/>
      <c r="BV191" s="373"/>
    </row>
  </sheetData>
  <mergeCells count="1">
    <mergeCell ref="G8:BT8"/>
  </mergeCells>
  <pageMargins left="0.7" right="0.7" top="0.75" bottom="0.75" header="0.3" footer="0.3"/>
  <pageSetup paperSize="9" scale="27"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J106"/>
  <sheetViews>
    <sheetView view="pageBreakPreview" topLeftCell="X1" zoomScaleNormal="100" zoomScaleSheetLayoutView="100" workbookViewId="0">
      <selection activeCell="BZ13" sqref="BZ13"/>
    </sheetView>
  </sheetViews>
  <sheetFormatPr defaultColWidth="10" defaultRowHeight="12.75" x14ac:dyDescent="0.2"/>
  <cols>
    <col min="1" max="1" width="1.85546875" style="1" hidden="1" customWidth="1"/>
    <col min="2" max="3" width="0.85546875" style="1" hidden="1" customWidth="1"/>
    <col min="4" max="4" width="64.85546875" style="1" customWidth="1"/>
    <col min="5" max="5" width="7" style="72" customWidth="1"/>
    <col min="6" max="7" width="1" style="1" customWidth="1"/>
    <col min="8" max="8" width="15.140625" style="1" customWidth="1"/>
    <col min="9" max="10" width="1" style="1" customWidth="1"/>
    <col min="11" max="11" width="0.85546875" style="1" customWidth="1"/>
    <col min="12" max="12" width="1" style="1" customWidth="1"/>
    <col min="13" max="13" width="17.85546875" style="1" customWidth="1"/>
    <col min="14" max="17" width="1" style="1" customWidth="1"/>
    <col min="18" max="18" width="17.85546875" style="1" customWidth="1"/>
    <col min="19" max="22" width="1" style="1" customWidth="1"/>
    <col min="23" max="23" width="17.85546875" style="1" customWidth="1"/>
    <col min="24" max="27" width="1" style="1" customWidth="1"/>
    <col min="28" max="28" width="17.85546875" style="1" customWidth="1"/>
    <col min="29" max="32" width="1" style="1" customWidth="1"/>
    <col min="33" max="33" width="17.85546875" style="1" customWidth="1"/>
    <col min="34" max="37" width="1" style="1" customWidth="1"/>
    <col min="38" max="38" width="17.85546875" style="1" customWidth="1"/>
    <col min="39" max="40" width="1" style="1" customWidth="1"/>
    <col min="41" max="41" width="1.28515625" style="1" customWidth="1"/>
    <col min="42" max="42" width="1" style="1" customWidth="1"/>
    <col min="43" max="43" width="17.85546875" style="1" customWidth="1"/>
    <col min="44" max="47" width="1" style="1" customWidth="1"/>
    <col min="48" max="48" width="14.7109375" style="1" customWidth="1"/>
    <col min="49" max="52" width="1" style="1" customWidth="1"/>
    <col min="53" max="53" width="17.85546875" style="1" customWidth="1"/>
    <col min="54" max="57" width="1" style="1" customWidth="1"/>
    <col min="58" max="58" width="17.85546875" style="1" customWidth="1"/>
    <col min="59" max="60" width="1" style="1" customWidth="1"/>
    <col min="61" max="62" width="1" style="1" hidden="1" customWidth="1"/>
    <col min="63" max="63" width="17.85546875" style="1" hidden="1" customWidth="1"/>
    <col min="64" max="67" width="1" style="1" hidden="1" customWidth="1"/>
    <col min="68" max="68" width="17.85546875" style="1" hidden="1" customWidth="1"/>
    <col min="69" max="70" width="1" style="1" hidden="1" customWidth="1"/>
    <col min="71" max="72" width="1" style="1" customWidth="1"/>
    <col min="73" max="73" width="18.7109375" style="1" bestFit="1" customWidth="1"/>
    <col min="74" max="76" width="1" style="1" customWidth="1"/>
    <col min="77" max="77" width="1.85546875" style="1" customWidth="1"/>
    <col min="78" max="78" width="11.28515625" style="1" bestFit="1" customWidth="1"/>
    <col min="79" max="79" width="10" style="1"/>
    <col min="80" max="80" width="10.42578125" style="1" bestFit="1" customWidth="1"/>
    <col min="81" max="83" width="10" style="1"/>
    <col min="84" max="84" width="13.42578125" style="1" bestFit="1" customWidth="1"/>
    <col min="85" max="186" width="10" style="1"/>
    <col min="187" max="189" width="0" style="1" hidden="1" customWidth="1"/>
    <col min="190" max="190" width="64.85546875" style="1" customWidth="1"/>
    <col min="191" max="191" width="7" style="1" customWidth="1"/>
    <col min="192" max="193" width="1" style="1" customWidth="1"/>
    <col min="194" max="194" width="15.140625" style="1" customWidth="1"/>
    <col min="195" max="196" width="1" style="1" customWidth="1"/>
    <col min="197" max="241" width="0" style="1" hidden="1" customWidth="1"/>
    <col min="242" max="243" width="1" style="1" customWidth="1"/>
    <col min="244" max="244" width="17.85546875" style="1" customWidth="1"/>
    <col min="245" max="246" width="1" style="1" customWidth="1"/>
    <col min="247" max="256" width="0" style="1" hidden="1" customWidth="1"/>
    <col min="257" max="258" width="1" style="1" customWidth="1"/>
    <col min="259" max="259" width="18.7109375" style="1" bestFit="1" customWidth="1"/>
    <col min="260" max="263" width="1" style="1" customWidth="1"/>
    <col min="264" max="264" width="16.85546875" style="1" bestFit="1" customWidth="1"/>
    <col min="265" max="266" width="1" style="1" customWidth="1"/>
    <col min="267" max="311" width="0" style="1" hidden="1" customWidth="1"/>
    <col min="312" max="313" width="1" style="1" customWidth="1"/>
    <col min="314" max="314" width="17.85546875" style="1" customWidth="1"/>
    <col min="315" max="316" width="1" style="1" customWidth="1"/>
    <col min="317" max="326" width="0" style="1" hidden="1" customWidth="1"/>
    <col min="327" max="328" width="1" style="1" customWidth="1"/>
    <col min="329" max="329" width="17.85546875" style="1" customWidth="1"/>
    <col min="330" max="332" width="1" style="1" customWidth="1"/>
    <col min="333" max="333" width="1.85546875" style="1" customWidth="1"/>
    <col min="334" max="334" width="11.28515625" style="1" bestFit="1" customWidth="1"/>
    <col min="335" max="335" width="10" style="1"/>
    <col min="336" max="336" width="10.42578125" style="1" bestFit="1" customWidth="1"/>
    <col min="337" max="339" width="10" style="1"/>
    <col min="340" max="340" width="13.42578125" style="1" bestFit="1" customWidth="1"/>
    <col min="341" max="442" width="10" style="1"/>
    <col min="443" max="445" width="0" style="1" hidden="1" customWidth="1"/>
    <col min="446" max="446" width="64.85546875" style="1" customWidth="1"/>
    <col min="447" max="447" width="7" style="1" customWidth="1"/>
    <col min="448" max="449" width="1" style="1" customWidth="1"/>
    <col min="450" max="450" width="15.140625" style="1" customWidth="1"/>
    <col min="451" max="452" width="1" style="1" customWidth="1"/>
    <col min="453" max="497" width="0" style="1" hidden="1" customWidth="1"/>
    <col min="498" max="499" width="1" style="1" customWidth="1"/>
    <col min="500" max="500" width="17.85546875" style="1" customWidth="1"/>
    <col min="501" max="502" width="1" style="1" customWidth="1"/>
    <col min="503" max="512" width="0" style="1" hidden="1" customWidth="1"/>
    <col min="513" max="514" width="1" style="1" customWidth="1"/>
    <col min="515" max="515" width="18.7109375" style="1" bestFit="1" customWidth="1"/>
    <col min="516" max="519" width="1" style="1" customWidth="1"/>
    <col min="520" max="520" width="16.85546875" style="1" bestFit="1" customWidth="1"/>
    <col min="521" max="522" width="1" style="1" customWidth="1"/>
    <col min="523" max="567" width="0" style="1" hidden="1" customWidth="1"/>
    <col min="568" max="569" width="1" style="1" customWidth="1"/>
    <col min="570" max="570" width="17.85546875" style="1" customWidth="1"/>
    <col min="571" max="572" width="1" style="1" customWidth="1"/>
    <col min="573" max="582" width="0" style="1" hidden="1" customWidth="1"/>
    <col min="583" max="584" width="1" style="1" customWidth="1"/>
    <col min="585" max="585" width="17.85546875" style="1" customWidth="1"/>
    <col min="586" max="588" width="1" style="1" customWidth="1"/>
    <col min="589" max="589" width="1.85546875" style="1" customWidth="1"/>
    <col min="590" max="590" width="11.28515625" style="1" bestFit="1" customWidth="1"/>
    <col min="591" max="591" width="10" style="1"/>
    <col min="592" max="592" width="10.42578125" style="1" bestFit="1" customWidth="1"/>
    <col min="593" max="595" width="10" style="1"/>
    <col min="596" max="596" width="13.42578125" style="1" bestFit="1" customWidth="1"/>
    <col min="597" max="698" width="10" style="1"/>
    <col min="699" max="701" width="0" style="1" hidden="1" customWidth="1"/>
    <col min="702" max="702" width="64.85546875" style="1" customWidth="1"/>
    <col min="703" max="703" width="7" style="1" customWidth="1"/>
    <col min="704" max="705" width="1" style="1" customWidth="1"/>
    <col min="706" max="706" width="15.140625" style="1" customWidth="1"/>
    <col min="707" max="708" width="1" style="1" customWidth="1"/>
    <col min="709" max="753" width="0" style="1" hidden="1" customWidth="1"/>
    <col min="754" max="755" width="1" style="1" customWidth="1"/>
    <col min="756" max="756" width="17.85546875" style="1" customWidth="1"/>
    <col min="757" max="758" width="1" style="1" customWidth="1"/>
    <col min="759" max="768" width="0" style="1" hidden="1" customWidth="1"/>
    <col min="769" max="770" width="1" style="1" customWidth="1"/>
    <col min="771" max="771" width="18.7109375" style="1" bestFit="1" customWidth="1"/>
    <col min="772" max="775" width="1" style="1" customWidth="1"/>
    <col min="776" max="776" width="16.85546875" style="1" bestFit="1" customWidth="1"/>
    <col min="777" max="778" width="1" style="1" customWidth="1"/>
    <col min="779" max="823" width="0" style="1" hidden="1" customWidth="1"/>
    <col min="824" max="825" width="1" style="1" customWidth="1"/>
    <col min="826" max="826" width="17.85546875" style="1" customWidth="1"/>
    <col min="827" max="828" width="1" style="1" customWidth="1"/>
    <col min="829" max="838" width="0" style="1" hidden="1" customWidth="1"/>
    <col min="839" max="840" width="1" style="1" customWidth="1"/>
    <col min="841" max="841" width="17.85546875" style="1" customWidth="1"/>
    <col min="842" max="844" width="1" style="1" customWidth="1"/>
    <col min="845" max="845" width="1.85546875" style="1" customWidth="1"/>
    <col min="846" max="846" width="11.28515625" style="1" bestFit="1" customWidth="1"/>
    <col min="847" max="847" width="10" style="1"/>
    <col min="848" max="848" width="10.42578125" style="1" bestFit="1" customWidth="1"/>
    <col min="849" max="851" width="10" style="1"/>
    <col min="852" max="852" width="13.42578125" style="1" bestFit="1" customWidth="1"/>
    <col min="853" max="954" width="10" style="1"/>
    <col min="955" max="957" width="0" style="1" hidden="1" customWidth="1"/>
    <col min="958" max="958" width="64.85546875" style="1" customWidth="1"/>
    <col min="959" max="959" width="7" style="1" customWidth="1"/>
    <col min="960" max="961" width="1" style="1" customWidth="1"/>
    <col min="962" max="962" width="15.140625" style="1" customWidth="1"/>
    <col min="963" max="964" width="1" style="1" customWidth="1"/>
    <col min="965" max="1009" width="0" style="1" hidden="1" customWidth="1"/>
    <col min="1010" max="1011" width="1" style="1" customWidth="1"/>
    <col min="1012" max="1012" width="17.85546875" style="1" customWidth="1"/>
    <col min="1013" max="1014" width="1" style="1" customWidth="1"/>
    <col min="1015" max="1024" width="0" style="1" hidden="1" customWidth="1"/>
    <col min="1025" max="1026" width="1" style="1" customWidth="1"/>
    <col min="1027" max="1027" width="18.7109375" style="1" bestFit="1" customWidth="1"/>
    <col min="1028" max="1031" width="1" style="1" customWidth="1"/>
    <col min="1032" max="1032" width="16.85546875" style="1" bestFit="1" customWidth="1"/>
    <col min="1033" max="1034" width="1" style="1" customWidth="1"/>
    <col min="1035" max="1079" width="0" style="1" hidden="1" customWidth="1"/>
    <col min="1080" max="1081" width="1" style="1" customWidth="1"/>
    <col min="1082" max="1082" width="17.85546875" style="1" customWidth="1"/>
    <col min="1083" max="1084" width="1" style="1" customWidth="1"/>
    <col min="1085" max="1094" width="0" style="1" hidden="1" customWidth="1"/>
    <col min="1095" max="1096" width="1" style="1" customWidth="1"/>
    <col min="1097" max="1097" width="17.85546875" style="1" customWidth="1"/>
    <col min="1098" max="1100" width="1" style="1" customWidth="1"/>
    <col min="1101" max="1101" width="1.85546875" style="1" customWidth="1"/>
    <col min="1102" max="1102" width="11.28515625" style="1" bestFit="1" customWidth="1"/>
    <col min="1103" max="1103" width="10" style="1"/>
    <col min="1104" max="1104" width="10.42578125" style="1" bestFit="1" customWidth="1"/>
    <col min="1105" max="1107" width="10" style="1"/>
    <col min="1108" max="1108" width="13.42578125" style="1" bestFit="1" customWidth="1"/>
    <col min="1109" max="1210" width="10" style="1"/>
    <col min="1211" max="1213" width="0" style="1" hidden="1" customWidth="1"/>
    <col min="1214" max="1214" width="64.85546875" style="1" customWidth="1"/>
    <col min="1215" max="1215" width="7" style="1" customWidth="1"/>
    <col min="1216" max="1217" width="1" style="1" customWidth="1"/>
    <col min="1218" max="1218" width="15.140625" style="1" customWidth="1"/>
    <col min="1219" max="1220" width="1" style="1" customWidth="1"/>
    <col min="1221" max="1265" width="0" style="1" hidden="1" customWidth="1"/>
    <col min="1266" max="1267" width="1" style="1" customWidth="1"/>
    <col min="1268" max="1268" width="17.85546875" style="1" customWidth="1"/>
    <col min="1269" max="1270" width="1" style="1" customWidth="1"/>
    <col min="1271" max="1280" width="0" style="1" hidden="1" customWidth="1"/>
    <col min="1281" max="1282" width="1" style="1" customWidth="1"/>
    <col min="1283" max="1283" width="18.7109375" style="1" bestFit="1" customWidth="1"/>
    <col min="1284" max="1287" width="1" style="1" customWidth="1"/>
    <col min="1288" max="1288" width="16.85546875" style="1" bestFit="1" customWidth="1"/>
    <col min="1289" max="1290" width="1" style="1" customWidth="1"/>
    <col min="1291" max="1335" width="0" style="1" hidden="1" customWidth="1"/>
    <col min="1336" max="1337" width="1" style="1" customWidth="1"/>
    <col min="1338" max="1338" width="17.85546875" style="1" customWidth="1"/>
    <col min="1339" max="1340" width="1" style="1" customWidth="1"/>
    <col min="1341" max="1350" width="0" style="1" hidden="1" customWidth="1"/>
    <col min="1351" max="1352" width="1" style="1" customWidth="1"/>
    <col min="1353" max="1353" width="17.85546875" style="1" customWidth="1"/>
    <col min="1354" max="1356" width="1" style="1" customWidth="1"/>
    <col min="1357" max="1357" width="1.85546875" style="1" customWidth="1"/>
    <col min="1358" max="1358" width="11.28515625" style="1" bestFit="1" customWidth="1"/>
    <col min="1359" max="1359" width="10" style="1"/>
    <col min="1360" max="1360" width="10.42578125" style="1" bestFit="1" customWidth="1"/>
    <col min="1361" max="1363" width="10" style="1"/>
    <col min="1364" max="1364" width="13.42578125" style="1" bestFit="1" customWidth="1"/>
    <col min="1365" max="1466" width="10" style="1"/>
    <col min="1467" max="1469" width="0" style="1" hidden="1" customWidth="1"/>
    <col min="1470" max="1470" width="64.85546875" style="1" customWidth="1"/>
    <col min="1471" max="1471" width="7" style="1" customWidth="1"/>
    <col min="1472" max="1473" width="1" style="1" customWidth="1"/>
    <col min="1474" max="1474" width="15.140625" style="1" customWidth="1"/>
    <col min="1475" max="1476" width="1" style="1" customWidth="1"/>
    <col min="1477" max="1521" width="0" style="1" hidden="1" customWidth="1"/>
    <col min="1522" max="1523" width="1" style="1" customWidth="1"/>
    <col min="1524" max="1524" width="17.85546875" style="1" customWidth="1"/>
    <col min="1525" max="1526" width="1" style="1" customWidth="1"/>
    <col min="1527" max="1536" width="0" style="1" hidden="1" customWidth="1"/>
    <col min="1537" max="1538" width="1" style="1" customWidth="1"/>
    <col min="1539" max="1539" width="18.7109375" style="1" bestFit="1" customWidth="1"/>
    <col min="1540" max="1543" width="1" style="1" customWidth="1"/>
    <col min="1544" max="1544" width="16.85546875" style="1" bestFit="1" customWidth="1"/>
    <col min="1545" max="1546" width="1" style="1" customWidth="1"/>
    <col min="1547" max="1591" width="0" style="1" hidden="1" customWidth="1"/>
    <col min="1592" max="1593" width="1" style="1" customWidth="1"/>
    <col min="1594" max="1594" width="17.85546875" style="1" customWidth="1"/>
    <col min="1595" max="1596" width="1" style="1" customWidth="1"/>
    <col min="1597" max="1606" width="0" style="1" hidden="1" customWidth="1"/>
    <col min="1607" max="1608" width="1" style="1" customWidth="1"/>
    <col min="1609" max="1609" width="17.85546875" style="1" customWidth="1"/>
    <col min="1610" max="1612" width="1" style="1" customWidth="1"/>
    <col min="1613" max="1613" width="1.85546875" style="1" customWidth="1"/>
    <col min="1614" max="1614" width="11.28515625" style="1" bestFit="1" customWidth="1"/>
    <col min="1615" max="1615" width="10" style="1"/>
    <col min="1616" max="1616" width="10.42578125" style="1" bestFit="1" customWidth="1"/>
    <col min="1617" max="1619" width="10" style="1"/>
    <col min="1620" max="1620" width="13.42578125" style="1" bestFit="1" customWidth="1"/>
    <col min="1621" max="1722" width="10" style="1"/>
    <col min="1723" max="1725" width="0" style="1" hidden="1" customWidth="1"/>
    <col min="1726" max="1726" width="64.85546875" style="1" customWidth="1"/>
    <col min="1727" max="1727" width="7" style="1" customWidth="1"/>
    <col min="1728" max="1729" width="1" style="1" customWidth="1"/>
    <col min="1730" max="1730" width="15.140625" style="1" customWidth="1"/>
    <col min="1731" max="1732" width="1" style="1" customWidth="1"/>
    <col min="1733" max="1777" width="0" style="1" hidden="1" customWidth="1"/>
    <col min="1778" max="1779" width="1" style="1" customWidth="1"/>
    <col min="1780" max="1780" width="17.85546875" style="1" customWidth="1"/>
    <col min="1781" max="1782" width="1" style="1" customWidth="1"/>
    <col min="1783" max="1792" width="0" style="1" hidden="1" customWidth="1"/>
    <col min="1793" max="1794" width="1" style="1" customWidth="1"/>
    <col min="1795" max="1795" width="18.7109375" style="1" bestFit="1" customWidth="1"/>
    <col min="1796" max="1799" width="1" style="1" customWidth="1"/>
    <col min="1800" max="1800" width="16.85546875" style="1" bestFit="1" customWidth="1"/>
    <col min="1801" max="1802" width="1" style="1" customWidth="1"/>
    <col min="1803" max="1847" width="0" style="1" hidden="1" customWidth="1"/>
    <col min="1848" max="1849" width="1" style="1" customWidth="1"/>
    <col min="1850" max="1850" width="17.85546875" style="1" customWidth="1"/>
    <col min="1851" max="1852" width="1" style="1" customWidth="1"/>
    <col min="1853" max="1862" width="0" style="1" hidden="1" customWidth="1"/>
    <col min="1863" max="1864" width="1" style="1" customWidth="1"/>
    <col min="1865" max="1865" width="17.85546875" style="1" customWidth="1"/>
    <col min="1866" max="1868" width="1" style="1" customWidth="1"/>
    <col min="1869" max="1869" width="1.85546875" style="1" customWidth="1"/>
    <col min="1870" max="1870" width="11.28515625" style="1" bestFit="1" customWidth="1"/>
    <col min="1871" max="1871" width="10" style="1"/>
    <col min="1872" max="1872" width="10.42578125" style="1" bestFit="1" customWidth="1"/>
    <col min="1873" max="1875" width="10" style="1"/>
    <col min="1876" max="1876" width="13.42578125" style="1" bestFit="1" customWidth="1"/>
    <col min="1877" max="1978" width="10" style="1"/>
    <col min="1979" max="1981" width="0" style="1" hidden="1" customWidth="1"/>
    <col min="1982" max="1982" width="64.85546875" style="1" customWidth="1"/>
    <col min="1983" max="1983" width="7" style="1" customWidth="1"/>
    <col min="1984" max="1985" width="1" style="1" customWidth="1"/>
    <col min="1986" max="1986" width="15.140625" style="1" customWidth="1"/>
    <col min="1987" max="1988" width="1" style="1" customWidth="1"/>
    <col min="1989" max="2033" width="0" style="1" hidden="1" customWidth="1"/>
    <col min="2034" max="2035" width="1" style="1" customWidth="1"/>
    <col min="2036" max="2036" width="17.85546875" style="1" customWidth="1"/>
    <col min="2037" max="2038" width="1" style="1" customWidth="1"/>
    <col min="2039" max="2048" width="0" style="1" hidden="1" customWidth="1"/>
    <col min="2049" max="2050" width="1" style="1" customWidth="1"/>
    <col min="2051" max="2051" width="18.7109375" style="1" bestFit="1" customWidth="1"/>
    <col min="2052" max="2055" width="1" style="1" customWidth="1"/>
    <col min="2056" max="2056" width="16.85546875" style="1" bestFit="1" customWidth="1"/>
    <col min="2057" max="2058" width="1" style="1" customWidth="1"/>
    <col min="2059" max="2103" width="0" style="1" hidden="1" customWidth="1"/>
    <col min="2104" max="2105" width="1" style="1" customWidth="1"/>
    <col min="2106" max="2106" width="17.85546875" style="1" customWidth="1"/>
    <col min="2107" max="2108" width="1" style="1" customWidth="1"/>
    <col min="2109" max="2118" width="0" style="1" hidden="1" customWidth="1"/>
    <col min="2119" max="2120" width="1" style="1" customWidth="1"/>
    <col min="2121" max="2121" width="17.85546875" style="1" customWidth="1"/>
    <col min="2122" max="2124" width="1" style="1" customWidth="1"/>
    <col min="2125" max="2125" width="1.85546875" style="1" customWidth="1"/>
    <col min="2126" max="2126" width="11.28515625" style="1" bestFit="1" customWidth="1"/>
    <col min="2127" max="2127" width="10" style="1"/>
    <col min="2128" max="2128" width="10.42578125" style="1" bestFit="1" customWidth="1"/>
    <col min="2129" max="2131" width="10" style="1"/>
    <col min="2132" max="2132" width="13.42578125" style="1" bestFit="1" customWidth="1"/>
    <col min="2133" max="2234" width="10" style="1"/>
    <col min="2235" max="2237" width="0" style="1" hidden="1" customWidth="1"/>
    <col min="2238" max="2238" width="64.85546875" style="1" customWidth="1"/>
    <col min="2239" max="2239" width="7" style="1" customWidth="1"/>
    <col min="2240" max="2241" width="1" style="1" customWidth="1"/>
    <col min="2242" max="2242" width="15.140625" style="1" customWidth="1"/>
    <col min="2243" max="2244" width="1" style="1" customWidth="1"/>
    <col min="2245" max="2289" width="0" style="1" hidden="1" customWidth="1"/>
    <col min="2290" max="2291" width="1" style="1" customWidth="1"/>
    <col min="2292" max="2292" width="17.85546875" style="1" customWidth="1"/>
    <col min="2293" max="2294" width="1" style="1" customWidth="1"/>
    <col min="2295" max="2304" width="0" style="1" hidden="1" customWidth="1"/>
    <col min="2305" max="2306" width="1" style="1" customWidth="1"/>
    <col min="2307" max="2307" width="18.7109375" style="1" bestFit="1" customWidth="1"/>
    <col min="2308" max="2311" width="1" style="1" customWidth="1"/>
    <col min="2312" max="2312" width="16.85546875" style="1" bestFit="1" customWidth="1"/>
    <col min="2313" max="2314" width="1" style="1" customWidth="1"/>
    <col min="2315" max="2359" width="0" style="1" hidden="1" customWidth="1"/>
    <col min="2360" max="2361" width="1" style="1" customWidth="1"/>
    <col min="2362" max="2362" width="17.85546875" style="1" customWidth="1"/>
    <col min="2363" max="2364" width="1" style="1" customWidth="1"/>
    <col min="2365" max="2374" width="0" style="1" hidden="1" customWidth="1"/>
    <col min="2375" max="2376" width="1" style="1" customWidth="1"/>
    <col min="2377" max="2377" width="17.85546875" style="1" customWidth="1"/>
    <col min="2378" max="2380" width="1" style="1" customWidth="1"/>
    <col min="2381" max="2381" width="1.85546875" style="1" customWidth="1"/>
    <col min="2382" max="2382" width="11.28515625" style="1" bestFit="1" customWidth="1"/>
    <col min="2383" max="2383" width="10" style="1"/>
    <col min="2384" max="2384" width="10.42578125" style="1" bestFit="1" customWidth="1"/>
    <col min="2385" max="2387" width="10" style="1"/>
    <col min="2388" max="2388" width="13.42578125" style="1" bestFit="1" customWidth="1"/>
    <col min="2389" max="2490" width="10" style="1"/>
    <col min="2491" max="2493" width="0" style="1" hidden="1" customWidth="1"/>
    <col min="2494" max="2494" width="64.85546875" style="1" customWidth="1"/>
    <col min="2495" max="2495" width="7" style="1" customWidth="1"/>
    <col min="2496" max="2497" width="1" style="1" customWidth="1"/>
    <col min="2498" max="2498" width="15.140625" style="1" customWidth="1"/>
    <col min="2499" max="2500" width="1" style="1" customWidth="1"/>
    <col min="2501" max="2545" width="0" style="1" hidden="1" customWidth="1"/>
    <col min="2546" max="2547" width="1" style="1" customWidth="1"/>
    <col min="2548" max="2548" width="17.85546875" style="1" customWidth="1"/>
    <col min="2549" max="2550" width="1" style="1" customWidth="1"/>
    <col min="2551" max="2560" width="0" style="1" hidden="1" customWidth="1"/>
    <col min="2561" max="2562" width="1" style="1" customWidth="1"/>
    <col min="2563" max="2563" width="18.7109375" style="1" bestFit="1" customWidth="1"/>
    <col min="2564" max="2567" width="1" style="1" customWidth="1"/>
    <col min="2568" max="2568" width="16.85546875" style="1" bestFit="1" customWidth="1"/>
    <col min="2569" max="2570" width="1" style="1" customWidth="1"/>
    <col min="2571" max="2615" width="0" style="1" hidden="1" customWidth="1"/>
    <col min="2616" max="2617" width="1" style="1" customWidth="1"/>
    <col min="2618" max="2618" width="17.85546875" style="1" customWidth="1"/>
    <col min="2619" max="2620" width="1" style="1" customWidth="1"/>
    <col min="2621" max="2630" width="0" style="1" hidden="1" customWidth="1"/>
    <col min="2631" max="2632" width="1" style="1" customWidth="1"/>
    <col min="2633" max="2633" width="17.85546875" style="1" customWidth="1"/>
    <col min="2634" max="2636" width="1" style="1" customWidth="1"/>
    <col min="2637" max="2637" width="1.85546875" style="1" customWidth="1"/>
    <col min="2638" max="2638" width="11.28515625" style="1" bestFit="1" customWidth="1"/>
    <col min="2639" max="2639" width="10" style="1"/>
    <col min="2640" max="2640" width="10.42578125" style="1" bestFit="1" customWidth="1"/>
    <col min="2641" max="2643" width="10" style="1"/>
    <col min="2644" max="2644" width="13.42578125" style="1" bestFit="1" customWidth="1"/>
    <col min="2645" max="2746" width="10" style="1"/>
    <col min="2747" max="2749" width="0" style="1" hidden="1" customWidth="1"/>
    <col min="2750" max="2750" width="64.85546875" style="1" customWidth="1"/>
    <col min="2751" max="2751" width="7" style="1" customWidth="1"/>
    <col min="2752" max="2753" width="1" style="1" customWidth="1"/>
    <col min="2754" max="2754" width="15.140625" style="1" customWidth="1"/>
    <col min="2755" max="2756" width="1" style="1" customWidth="1"/>
    <col min="2757" max="2801" width="0" style="1" hidden="1" customWidth="1"/>
    <col min="2802" max="2803" width="1" style="1" customWidth="1"/>
    <col min="2804" max="2804" width="17.85546875" style="1" customWidth="1"/>
    <col min="2805" max="2806" width="1" style="1" customWidth="1"/>
    <col min="2807" max="2816" width="0" style="1" hidden="1" customWidth="1"/>
    <col min="2817" max="2818" width="1" style="1" customWidth="1"/>
    <col min="2819" max="2819" width="18.7109375" style="1" bestFit="1" customWidth="1"/>
    <col min="2820" max="2823" width="1" style="1" customWidth="1"/>
    <col min="2824" max="2824" width="16.85546875" style="1" bestFit="1" customWidth="1"/>
    <col min="2825" max="2826" width="1" style="1" customWidth="1"/>
    <col min="2827" max="2871" width="0" style="1" hidden="1" customWidth="1"/>
    <col min="2872" max="2873" width="1" style="1" customWidth="1"/>
    <col min="2874" max="2874" width="17.85546875" style="1" customWidth="1"/>
    <col min="2875" max="2876" width="1" style="1" customWidth="1"/>
    <col min="2877" max="2886" width="0" style="1" hidden="1" customWidth="1"/>
    <col min="2887" max="2888" width="1" style="1" customWidth="1"/>
    <col min="2889" max="2889" width="17.85546875" style="1" customWidth="1"/>
    <col min="2890" max="2892" width="1" style="1" customWidth="1"/>
    <col min="2893" max="2893" width="1.85546875" style="1" customWidth="1"/>
    <col min="2894" max="2894" width="11.28515625" style="1" bestFit="1" customWidth="1"/>
    <col min="2895" max="2895" width="10" style="1"/>
    <col min="2896" max="2896" width="10.42578125" style="1" bestFit="1" customWidth="1"/>
    <col min="2897" max="2899" width="10" style="1"/>
    <col min="2900" max="2900" width="13.42578125" style="1" bestFit="1" customWidth="1"/>
    <col min="2901" max="3002" width="10" style="1"/>
    <col min="3003" max="3005" width="0" style="1" hidden="1" customWidth="1"/>
    <col min="3006" max="3006" width="64.85546875" style="1" customWidth="1"/>
    <col min="3007" max="3007" width="7" style="1" customWidth="1"/>
    <col min="3008" max="3009" width="1" style="1" customWidth="1"/>
    <col min="3010" max="3010" width="15.140625" style="1" customWidth="1"/>
    <col min="3011" max="3012" width="1" style="1" customWidth="1"/>
    <col min="3013" max="3057" width="0" style="1" hidden="1" customWidth="1"/>
    <col min="3058" max="3059" width="1" style="1" customWidth="1"/>
    <col min="3060" max="3060" width="17.85546875" style="1" customWidth="1"/>
    <col min="3061" max="3062" width="1" style="1" customWidth="1"/>
    <col min="3063" max="3072" width="0" style="1" hidden="1" customWidth="1"/>
    <col min="3073" max="3074" width="1" style="1" customWidth="1"/>
    <col min="3075" max="3075" width="18.7109375" style="1" bestFit="1" customWidth="1"/>
    <col min="3076" max="3079" width="1" style="1" customWidth="1"/>
    <col min="3080" max="3080" width="16.85546875" style="1" bestFit="1" customWidth="1"/>
    <col min="3081" max="3082" width="1" style="1" customWidth="1"/>
    <col min="3083" max="3127" width="0" style="1" hidden="1" customWidth="1"/>
    <col min="3128" max="3129" width="1" style="1" customWidth="1"/>
    <col min="3130" max="3130" width="17.85546875" style="1" customWidth="1"/>
    <col min="3131" max="3132" width="1" style="1" customWidth="1"/>
    <col min="3133" max="3142" width="0" style="1" hidden="1" customWidth="1"/>
    <col min="3143" max="3144" width="1" style="1" customWidth="1"/>
    <col min="3145" max="3145" width="17.85546875" style="1" customWidth="1"/>
    <col min="3146" max="3148" width="1" style="1" customWidth="1"/>
    <col min="3149" max="3149" width="1.85546875" style="1" customWidth="1"/>
    <col min="3150" max="3150" width="11.28515625" style="1" bestFit="1" customWidth="1"/>
    <col min="3151" max="3151" width="10" style="1"/>
    <col min="3152" max="3152" width="10.42578125" style="1" bestFit="1" customWidth="1"/>
    <col min="3153" max="3155" width="10" style="1"/>
    <col min="3156" max="3156" width="13.42578125" style="1" bestFit="1" customWidth="1"/>
    <col min="3157" max="3258" width="10" style="1"/>
    <col min="3259" max="3261" width="0" style="1" hidden="1" customWidth="1"/>
    <col min="3262" max="3262" width="64.85546875" style="1" customWidth="1"/>
    <col min="3263" max="3263" width="7" style="1" customWidth="1"/>
    <col min="3264" max="3265" width="1" style="1" customWidth="1"/>
    <col min="3266" max="3266" width="15.140625" style="1" customWidth="1"/>
    <col min="3267" max="3268" width="1" style="1" customWidth="1"/>
    <col min="3269" max="3313" width="0" style="1" hidden="1" customWidth="1"/>
    <col min="3314" max="3315" width="1" style="1" customWidth="1"/>
    <col min="3316" max="3316" width="17.85546875" style="1" customWidth="1"/>
    <col min="3317" max="3318" width="1" style="1" customWidth="1"/>
    <col min="3319" max="3328" width="0" style="1" hidden="1" customWidth="1"/>
    <col min="3329" max="3330" width="1" style="1" customWidth="1"/>
    <col min="3331" max="3331" width="18.7109375" style="1" bestFit="1" customWidth="1"/>
    <col min="3332" max="3335" width="1" style="1" customWidth="1"/>
    <col min="3336" max="3336" width="16.85546875" style="1" bestFit="1" customWidth="1"/>
    <col min="3337" max="3338" width="1" style="1" customWidth="1"/>
    <col min="3339" max="3383" width="0" style="1" hidden="1" customWidth="1"/>
    <col min="3384" max="3385" width="1" style="1" customWidth="1"/>
    <col min="3386" max="3386" width="17.85546875" style="1" customWidth="1"/>
    <col min="3387" max="3388" width="1" style="1" customWidth="1"/>
    <col min="3389" max="3398" width="0" style="1" hidden="1" customWidth="1"/>
    <col min="3399" max="3400" width="1" style="1" customWidth="1"/>
    <col min="3401" max="3401" width="17.85546875" style="1" customWidth="1"/>
    <col min="3402" max="3404" width="1" style="1" customWidth="1"/>
    <col min="3405" max="3405" width="1.85546875" style="1" customWidth="1"/>
    <col min="3406" max="3406" width="11.28515625" style="1" bestFit="1" customWidth="1"/>
    <col min="3407" max="3407" width="10" style="1"/>
    <col min="3408" max="3408" width="10.42578125" style="1" bestFit="1" customWidth="1"/>
    <col min="3409" max="3411" width="10" style="1"/>
    <col min="3412" max="3412" width="13.42578125" style="1" bestFit="1" customWidth="1"/>
    <col min="3413" max="3514" width="10" style="1"/>
    <col min="3515" max="3517" width="0" style="1" hidden="1" customWidth="1"/>
    <col min="3518" max="3518" width="64.85546875" style="1" customWidth="1"/>
    <col min="3519" max="3519" width="7" style="1" customWidth="1"/>
    <col min="3520" max="3521" width="1" style="1" customWidth="1"/>
    <col min="3522" max="3522" width="15.140625" style="1" customWidth="1"/>
    <col min="3523" max="3524" width="1" style="1" customWidth="1"/>
    <col min="3525" max="3569" width="0" style="1" hidden="1" customWidth="1"/>
    <col min="3570" max="3571" width="1" style="1" customWidth="1"/>
    <col min="3572" max="3572" width="17.85546875" style="1" customWidth="1"/>
    <col min="3573" max="3574" width="1" style="1" customWidth="1"/>
    <col min="3575" max="3584" width="0" style="1" hidden="1" customWidth="1"/>
    <col min="3585" max="3586" width="1" style="1" customWidth="1"/>
    <col min="3587" max="3587" width="18.7109375" style="1" bestFit="1" customWidth="1"/>
    <col min="3588" max="3591" width="1" style="1" customWidth="1"/>
    <col min="3592" max="3592" width="16.85546875" style="1" bestFit="1" customWidth="1"/>
    <col min="3593" max="3594" width="1" style="1" customWidth="1"/>
    <col min="3595" max="3639" width="0" style="1" hidden="1" customWidth="1"/>
    <col min="3640" max="3641" width="1" style="1" customWidth="1"/>
    <col min="3642" max="3642" width="17.85546875" style="1" customWidth="1"/>
    <col min="3643" max="3644" width="1" style="1" customWidth="1"/>
    <col min="3645" max="3654" width="0" style="1" hidden="1" customWidth="1"/>
    <col min="3655" max="3656" width="1" style="1" customWidth="1"/>
    <col min="3657" max="3657" width="17.85546875" style="1" customWidth="1"/>
    <col min="3658" max="3660" width="1" style="1" customWidth="1"/>
    <col min="3661" max="3661" width="1.85546875" style="1" customWidth="1"/>
    <col min="3662" max="3662" width="11.28515625" style="1" bestFit="1" customWidth="1"/>
    <col min="3663" max="3663" width="10" style="1"/>
    <col min="3664" max="3664" width="10.42578125" style="1" bestFit="1" customWidth="1"/>
    <col min="3665" max="3667" width="10" style="1"/>
    <col min="3668" max="3668" width="13.42578125" style="1" bestFit="1" customWidth="1"/>
    <col min="3669" max="3770" width="10" style="1"/>
    <col min="3771" max="3773" width="0" style="1" hidden="1" customWidth="1"/>
    <col min="3774" max="3774" width="64.85546875" style="1" customWidth="1"/>
    <col min="3775" max="3775" width="7" style="1" customWidth="1"/>
    <col min="3776" max="3777" width="1" style="1" customWidth="1"/>
    <col min="3778" max="3778" width="15.140625" style="1" customWidth="1"/>
    <col min="3779" max="3780" width="1" style="1" customWidth="1"/>
    <col min="3781" max="3825" width="0" style="1" hidden="1" customWidth="1"/>
    <col min="3826" max="3827" width="1" style="1" customWidth="1"/>
    <col min="3828" max="3828" width="17.85546875" style="1" customWidth="1"/>
    <col min="3829" max="3830" width="1" style="1" customWidth="1"/>
    <col min="3831" max="3840" width="0" style="1" hidden="1" customWidth="1"/>
    <col min="3841" max="3842" width="1" style="1" customWidth="1"/>
    <col min="3843" max="3843" width="18.7109375" style="1" bestFit="1" customWidth="1"/>
    <col min="3844" max="3847" width="1" style="1" customWidth="1"/>
    <col min="3848" max="3848" width="16.85546875" style="1" bestFit="1" customWidth="1"/>
    <col min="3849" max="3850" width="1" style="1" customWidth="1"/>
    <col min="3851" max="3895" width="0" style="1" hidden="1" customWidth="1"/>
    <col min="3896" max="3897" width="1" style="1" customWidth="1"/>
    <col min="3898" max="3898" width="17.85546875" style="1" customWidth="1"/>
    <col min="3899" max="3900" width="1" style="1" customWidth="1"/>
    <col min="3901" max="3910" width="0" style="1" hidden="1" customWidth="1"/>
    <col min="3911" max="3912" width="1" style="1" customWidth="1"/>
    <col min="3913" max="3913" width="17.85546875" style="1" customWidth="1"/>
    <col min="3914" max="3916" width="1" style="1" customWidth="1"/>
    <col min="3917" max="3917" width="1.85546875" style="1" customWidth="1"/>
    <col min="3918" max="3918" width="11.28515625" style="1" bestFit="1" customWidth="1"/>
    <col min="3919" max="3919" width="10" style="1"/>
    <col min="3920" max="3920" width="10.42578125" style="1" bestFit="1" customWidth="1"/>
    <col min="3921" max="3923" width="10" style="1"/>
    <col min="3924" max="3924" width="13.42578125" style="1" bestFit="1" customWidth="1"/>
    <col min="3925" max="4026" width="10" style="1"/>
    <col min="4027" max="4029" width="0" style="1" hidden="1" customWidth="1"/>
    <col min="4030" max="4030" width="64.85546875" style="1" customWidth="1"/>
    <col min="4031" max="4031" width="7" style="1" customWidth="1"/>
    <col min="4032" max="4033" width="1" style="1" customWidth="1"/>
    <col min="4034" max="4034" width="15.140625" style="1" customWidth="1"/>
    <col min="4035" max="4036" width="1" style="1" customWidth="1"/>
    <col min="4037" max="4081" width="0" style="1" hidden="1" customWidth="1"/>
    <col min="4082" max="4083" width="1" style="1" customWidth="1"/>
    <col min="4084" max="4084" width="17.85546875" style="1" customWidth="1"/>
    <col min="4085" max="4086" width="1" style="1" customWidth="1"/>
    <col min="4087" max="4096" width="0" style="1" hidden="1" customWidth="1"/>
    <col min="4097" max="4098" width="1" style="1" customWidth="1"/>
    <col min="4099" max="4099" width="18.7109375" style="1" bestFit="1" customWidth="1"/>
    <col min="4100" max="4103" width="1" style="1" customWidth="1"/>
    <col min="4104" max="4104" width="16.85546875" style="1" bestFit="1" customWidth="1"/>
    <col min="4105" max="4106" width="1" style="1" customWidth="1"/>
    <col min="4107" max="4151" width="0" style="1" hidden="1" customWidth="1"/>
    <col min="4152" max="4153" width="1" style="1" customWidth="1"/>
    <col min="4154" max="4154" width="17.85546875" style="1" customWidth="1"/>
    <col min="4155" max="4156" width="1" style="1" customWidth="1"/>
    <col min="4157" max="4166" width="0" style="1" hidden="1" customWidth="1"/>
    <col min="4167" max="4168" width="1" style="1" customWidth="1"/>
    <col min="4169" max="4169" width="17.85546875" style="1" customWidth="1"/>
    <col min="4170" max="4172" width="1" style="1" customWidth="1"/>
    <col min="4173" max="4173" width="1.85546875" style="1" customWidth="1"/>
    <col min="4174" max="4174" width="11.28515625" style="1" bestFit="1" customWidth="1"/>
    <col min="4175" max="4175" width="10" style="1"/>
    <col min="4176" max="4176" width="10.42578125" style="1" bestFit="1" customWidth="1"/>
    <col min="4177" max="4179" width="10" style="1"/>
    <col min="4180" max="4180" width="13.42578125" style="1" bestFit="1" customWidth="1"/>
    <col min="4181" max="4282" width="10" style="1"/>
    <col min="4283" max="4285" width="0" style="1" hidden="1" customWidth="1"/>
    <col min="4286" max="4286" width="64.85546875" style="1" customWidth="1"/>
    <col min="4287" max="4287" width="7" style="1" customWidth="1"/>
    <col min="4288" max="4289" width="1" style="1" customWidth="1"/>
    <col min="4290" max="4290" width="15.140625" style="1" customWidth="1"/>
    <col min="4291" max="4292" width="1" style="1" customWidth="1"/>
    <col min="4293" max="4337" width="0" style="1" hidden="1" customWidth="1"/>
    <col min="4338" max="4339" width="1" style="1" customWidth="1"/>
    <col min="4340" max="4340" width="17.85546875" style="1" customWidth="1"/>
    <col min="4341" max="4342" width="1" style="1" customWidth="1"/>
    <col min="4343" max="4352" width="0" style="1" hidden="1" customWidth="1"/>
    <col min="4353" max="4354" width="1" style="1" customWidth="1"/>
    <col min="4355" max="4355" width="18.7109375" style="1" bestFit="1" customWidth="1"/>
    <col min="4356" max="4359" width="1" style="1" customWidth="1"/>
    <col min="4360" max="4360" width="16.85546875" style="1" bestFit="1" customWidth="1"/>
    <col min="4361" max="4362" width="1" style="1" customWidth="1"/>
    <col min="4363" max="4407" width="0" style="1" hidden="1" customWidth="1"/>
    <col min="4408" max="4409" width="1" style="1" customWidth="1"/>
    <col min="4410" max="4410" width="17.85546875" style="1" customWidth="1"/>
    <col min="4411" max="4412" width="1" style="1" customWidth="1"/>
    <col min="4413" max="4422" width="0" style="1" hidden="1" customWidth="1"/>
    <col min="4423" max="4424" width="1" style="1" customWidth="1"/>
    <col min="4425" max="4425" width="17.85546875" style="1" customWidth="1"/>
    <col min="4426" max="4428" width="1" style="1" customWidth="1"/>
    <col min="4429" max="4429" width="1.85546875" style="1" customWidth="1"/>
    <col min="4430" max="4430" width="11.28515625" style="1" bestFit="1" customWidth="1"/>
    <col min="4431" max="4431" width="10" style="1"/>
    <col min="4432" max="4432" width="10.42578125" style="1" bestFit="1" customWidth="1"/>
    <col min="4433" max="4435" width="10" style="1"/>
    <col min="4436" max="4436" width="13.42578125" style="1" bestFit="1" customWidth="1"/>
    <col min="4437" max="4538" width="10" style="1"/>
    <col min="4539" max="4541" width="0" style="1" hidden="1" customWidth="1"/>
    <col min="4542" max="4542" width="64.85546875" style="1" customWidth="1"/>
    <col min="4543" max="4543" width="7" style="1" customWidth="1"/>
    <col min="4544" max="4545" width="1" style="1" customWidth="1"/>
    <col min="4546" max="4546" width="15.140625" style="1" customWidth="1"/>
    <col min="4547" max="4548" width="1" style="1" customWidth="1"/>
    <col min="4549" max="4593" width="0" style="1" hidden="1" customWidth="1"/>
    <col min="4594" max="4595" width="1" style="1" customWidth="1"/>
    <col min="4596" max="4596" width="17.85546875" style="1" customWidth="1"/>
    <col min="4597" max="4598" width="1" style="1" customWidth="1"/>
    <col min="4599" max="4608" width="0" style="1" hidden="1" customWidth="1"/>
    <col min="4609" max="4610" width="1" style="1" customWidth="1"/>
    <col min="4611" max="4611" width="18.7109375" style="1" bestFit="1" customWidth="1"/>
    <col min="4612" max="4615" width="1" style="1" customWidth="1"/>
    <col min="4616" max="4616" width="16.85546875" style="1" bestFit="1" customWidth="1"/>
    <col min="4617" max="4618" width="1" style="1" customWidth="1"/>
    <col min="4619" max="4663" width="0" style="1" hidden="1" customWidth="1"/>
    <col min="4664" max="4665" width="1" style="1" customWidth="1"/>
    <col min="4666" max="4666" width="17.85546875" style="1" customWidth="1"/>
    <col min="4667" max="4668" width="1" style="1" customWidth="1"/>
    <col min="4669" max="4678" width="0" style="1" hidden="1" customWidth="1"/>
    <col min="4679" max="4680" width="1" style="1" customWidth="1"/>
    <col min="4681" max="4681" width="17.85546875" style="1" customWidth="1"/>
    <col min="4682" max="4684" width="1" style="1" customWidth="1"/>
    <col min="4685" max="4685" width="1.85546875" style="1" customWidth="1"/>
    <col min="4686" max="4686" width="11.28515625" style="1" bestFit="1" customWidth="1"/>
    <col min="4687" max="4687" width="10" style="1"/>
    <col min="4688" max="4688" width="10.42578125" style="1" bestFit="1" customWidth="1"/>
    <col min="4689" max="4691" width="10" style="1"/>
    <col min="4692" max="4692" width="13.42578125" style="1" bestFit="1" customWidth="1"/>
    <col min="4693" max="4794" width="10" style="1"/>
    <col min="4795" max="4797" width="0" style="1" hidden="1" customWidth="1"/>
    <col min="4798" max="4798" width="64.85546875" style="1" customWidth="1"/>
    <col min="4799" max="4799" width="7" style="1" customWidth="1"/>
    <col min="4800" max="4801" width="1" style="1" customWidth="1"/>
    <col min="4802" max="4802" width="15.140625" style="1" customWidth="1"/>
    <col min="4803" max="4804" width="1" style="1" customWidth="1"/>
    <col min="4805" max="4849" width="0" style="1" hidden="1" customWidth="1"/>
    <col min="4850" max="4851" width="1" style="1" customWidth="1"/>
    <col min="4852" max="4852" width="17.85546875" style="1" customWidth="1"/>
    <col min="4853" max="4854" width="1" style="1" customWidth="1"/>
    <col min="4855" max="4864" width="0" style="1" hidden="1" customWidth="1"/>
    <col min="4865" max="4866" width="1" style="1" customWidth="1"/>
    <col min="4867" max="4867" width="18.7109375" style="1" bestFit="1" customWidth="1"/>
    <col min="4868" max="4871" width="1" style="1" customWidth="1"/>
    <col min="4872" max="4872" width="16.85546875" style="1" bestFit="1" customWidth="1"/>
    <col min="4873" max="4874" width="1" style="1" customWidth="1"/>
    <col min="4875" max="4919" width="0" style="1" hidden="1" customWidth="1"/>
    <col min="4920" max="4921" width="1" style="1" customWidth="1"/>
    <col min="4922" max="4922" width="17.85546875" style="1" customWidth="1"/>
    <col min="4923" max="4924" width="1" style="1" customWidth="1"/>
    <col min="4925" max="4934" width="0" style="1" hidden="1" customWidth="1"/>
    <col min="4935" max="4936" width="1" style="1" customWidth="1"/>
    <col min="4937" max="4937" width="17.85546875" style="1" customWidth="1"/>
    <col min="4938" max="4940" width="1" style="1" customWidth="1"/>
    <col min="4941" max="4941" width="1.85546875" style="1" customWidth="1"/>
    <col min="4942" max="4942" width="11.28515625" style="1" bestFit="1" customWidth="1"/>
    <col min="4943" max="4943" width="10" style="1"/>
    <col min="4944" max="4944" width="10.42578125" style="1" bestFit="1" customWidth="1"/>
    <col min="4945" max="4947" width="10" style="1"/>
    <col min="4948" max="4948" width="13.42578125" style="1" bestFit="1" customWidth="1"/>
    <col min="4949" max="5050" width="10" style="1"/>
    <col min="5051" max="5053" width="0" style="1" hidden="1" customWidth="1"/>
    <col min="5054" max="5054" width="64.85546875" style="1" customWidth="1"/>
    <col min="5055" max="5055" width="7" style="1" customWidth="1"/>
    <col min="5056" max="5057" width="1" style="1" customWidth="1"/>
    <col min="5058" max="5058" width="15.140625" style="1" customWidth="1"/>
    <col min="5059" max="5060" width="1" style="1" customWidth="1"/>
    <col min="5061" max="5105" width="0" style="1" hidden="1" customWidth="1"/>
    <col min="5106" max="5107" width="1" style="1" customWidth="1"/>
    <col min="5108" max="5108" width="17.85546875" style="1" customWidth="1"/>
    <col min="5109" max="5110" width="1" style="1" customWidth="1"/>
    <col min="5111" max="5120" width="0" style="1" hidden="1" customWidth="1"/>
    <col min="5121" max="5122" width="1" style="1" customWidth="1"/>
    <col min="5123" max="5123" width="18.7109375" style="1" bestFit="1" customWidth="1"/>
    <col min="5124" max="5127" width="1" style="1" customWidth="1"/>
    <col min="5128" max="5128" width="16.85546875" style="1" bestFit="1" customWidth="1"/>
    <col min="5129" max="5130" width="1" style="1" customWidth="1"/>
    <col min="5131" max="5175" width="0" style="1" hidden="1" customWidth="1"/>
    <col min="5176" max="5177" width="1" style="1" customWidth="1"/>
    <col min="5178" max="5178" width="17.85546875" style="1" customWidth="1"/>
    <col min="5179" max="5180" width="1" style="1" customWidth="1"/>
    <col min="5181" max="5190" width="0" style="1" hidden="1" customWidth="1"/>
    <col min="5191" max="5192" width="1" style="1" customWidth="1"/>
    <col min="5193" max="5193" width="17.85546875" style="1" customWidth="1"/>
    <col min="5194" max="5196" width="1" style="1" customWidth="1"/>
    <col min="5197" max="5197" width="1.85546875" style="1" customWidth="1"/>
    <col min="5198" max="5198" width="11.28515625" style="1" bestFit="1" customWidth="1"/>
    <col min="5199" max="5199" width="10" style="1"/>
    <col min="5200" max="5200" width="10.42578125" style="1" bestFit="1" customWidth="1"/>
    <col min="5201" max="5203" width="10" style="1"/>
    <col min="5204" max="5204" width="13.42578125" style="1" bestFit="1" customWidth="1"/>
    <col min="5205" max="5306" width="10" style="1"/>
    <col min="5307" max="5309" width="0" style="1" hidden="1" customWidth="1"/>
    <col min="5310" max="5310" width="64.85546875" style="1" customWidth="1"/>
    <col min="5311" max="5311" width="7" style="1" customWidth="1"/>
    <col min="5312" max="5313" width="1" style="1" customWidth="1"/>
    <col min="5314" max="5314" width="15.140625" style="1" customWidth="1"/>
    <col min="5315" max="5316" width="1" style="1" customWidth="1"/>
    <col min="5317" max="5361" width="0" style="1" hidden="1" customWidth="1"/>
    <col min="5362" max="5363" width="1" style="1" customWidth="1"/>
    <col min="5364" max="5364" width="17.85546875" style="1" customWidth="1"/>
    <col min="5365" max="5366" width="1" style="1" customWidth="1"/>
    <col min="5367" max="5376" width="0" style="1" hidden="1" customWidth="1"/>
    <col min="5377" max="5378" width="1" style="1" customWidth="1"/>
    <col min="5379" max="5379" width="18.7109375" style="1" bestFit="1" customWidth="1"/>
    <col min="5380" max="5383" width="1" style="1" customWidth="1"/>
    <col min="5384" max="5384" width="16.85546875" style="1" bestFit="1" customWidth="1"/>
    <col min="5385" max="5386" width="1" style="1" customWidth="1"/>
    <col min="5387" max="5431" width="0" style="1" hidden="1" customWidth="1"/>
    <col min="5432" max="5433" width="1" style="1" customWidth="1"/>
    <col min="5434" max="5434" width="17.85546875" style="1" customWidth="1"/>
    <col min="5435" max="5436" width="1" style="1" customWidth="1"/>
    <col min="5437" max="5446" width="0" style="1" hidden="1" customWidth="1"/>
    <col min="5447" max="5448" width="1" style="1" customWidth="1"/>
    <col min="5449" max="5449" width="17.85546875" style="1" customWidth="1"/>
    <col min="5450" max="5452" width="1" style="1" customWidth="1"/>
    <col min="5453" max="5453" width="1.85546875" style="1" customWidth="1"/>
    <col min="5454" max="5454" width="11.28515625" style="1" bestFit="1" customWidth="1"/>
    <col min="5455" max="5455" width="10" style="1"/>
    <col min="5456" max="5456" width="10.42578125" style="1" bestFit="1" customWidth="1"/>
    <col min="5457" max="5459" width="10" style="1"/>
    <col min="5460" max="5460" width="13.42578125" style="1" bestFit="1" customWidth="1"/>
    <col min="5461" max="5562" width="10" style="1"/>
    <col min="5563" max="5565" width="0" style="1" hidden="1" customWidth="1"/>
    <col min="5566" max="5566" width="64.85546875" style="1" customWidth="1"/>
    <col min="5567" max="5567" width="7" style="1" customWidth="1"/>
    <col min="5568" max="5569" width="1" style="1" customWidth="1"/>
    <col min="5570" max="5570" width="15.140625" style="1" customWidth="1"/>
    <col min="5571" max="5572" width="1" style="1" customWidth="1"/>
    <col min="5573" max="5617" width="0" style="1" hidden="1" customWidth="1"/>
    <col min="5618" max="5619" width="1" style="1" customWidth="1"/>
    <col min="5620" max="5620" width="17.85546875" style="1" customWidth="1"/>
    <col min="5621" max="5622" width="1" style="1" customWidth="1"/>
    <col min="5623" max="5632" width="0" style="1" hidden="1" customWidth="1"/>
    <col min="5633" max="5634" width="1" style="1" customWidth="1"/>
    <col min="5635" max="5635" width="18.7109375" style="1" bestFit="1" customWidth="1"/>
    <col min="5636" max="5639" width="1" style="1" customWidth="1"/>
    <col min="5640" max="5640" width="16.85546875" style="1" bestFit="1" customWidth="1"/>
    <col min="5641" max="5642" width="1" style="1" customWidth="1"/>
    <col min="5643" max="5687" width="0" style="1" hidden="1" customWidth="1"/>
    <col min="5688" max="5689" width="1" style="1" customWidth="1"/>
    <col min="5690" max="5690" width="17.85546875" style="1" customWidth="1"/>
    <col min="5691" max="5692" width="1" style="1" customWidth="1"/>
    <col min="5693" max="5702" width="0" style="1" hidden="1" customWidth="1"/>
    <col min="5703" max="5704" width="1" style="1" customWidth="1"/>
    <col min="5705" max="5705" width="17.85546875" style="1" customWidth="1"/>
    <col min="5706" max="5708" width="1" style="1" customWidth="1"/>
    <col min="5709" max="5709" width="1.85546875" style="1" customWidth="1"/>
    <col min="5710" max="5710" width="11.28515625" style="1" bestFit="1" customWidth="1"/>
    <col min="5711" max="5711" width="10" style="1"/>
    <col min="5712" max="5712" width="10.42578125" style="1" bestFit="1" customWidth="1"/>
    <col min="5713" max="5715" width="10" style="1"/>
    <col min="5716" max="5716" width="13.42578125" style="1" bestFit="1" customWidth="1"/>
    <col min="5717" max="5818" width="10" style="1"/>
    <col min="5819" max="5821" width="0" style="1" hidden="1" customWidth="1"/>
    <col min="5822" max="5822" width="64.85546875" style="1" customWidth="1"/>
    <col min="5823" max="5823" width="7" style="1" customWidth="1"/>
    <col min="5824" max="5825" width="1" style="1" customWidth="1"/>
    <col min="5826" max="5826" width="15.140625" style="1" customWidth="1"/>
    <col min="5827" max="5828" width="1" style="1" customWidth="1"/>
    <col min="5829" max="5873" width="0" style="1" hidden="1" customWidth="1"/>
    <col min="5874" max="5875" width="1" style="1" customWidth="1"/>
    <col min="5876" max="5876" width="17.85546875" style="1" customWidth="1"/>
    <col min="5877" max="5878" width="1" style="1" customWidth="1"/>
    <col min="5879" max="5888" width="0" style="1" hidden="1" customWidth="1"/>
    <col min="5889" max="5890" width="1" style="1" customWidth="1"/>
    <col min="5891" max="5891" width="18.7109375" style="1" bestFit="1" customWidth="1"/>
    <col min="5892" max="5895" width="1" style="1" customWidth="1"/>
    <col min="5896" max="5896" width="16.85546875" style="1" bestFit="1" customWidth="1"/>
    <col min="5897" max="5898" width="1" style="1" customWidth="1"/>
    <col min="5899" max="5943" width="0" style="1" hidden="1" customWidth="1"/>
    <col min="5944" max="5945" width="1" style="1" customWidth="1"/>
    <col min="5946" max="5946" width="17.85546875" style="1" customWidth="1"/>
    <col min="5947" max="5948" width="1" style="1" customWidth="1"/>
    <col min="5949" max="5958" width="0" style="1" hidden="1" customWidth="1"/>
    <col min="5959" max="5960" width="1" style="1" customWidth="1"/>
    <col min="5961" max="5961" width="17.85546875" style="1" customWidth="1"/>
    <col min="5962" max="5964" width="1" style="1" customWidth="1"/>
    <col min="5965" max="5965" width="1.85546875" style="1" customWidth="1"/>
    <col min="5966" max="5966" width="11.28515625" style="1" bestFit="1" customWidth="1"/>
    <col min="5967" max="5967" width="10" style="1"/>
    <col min="5968" max="5968" width="10.42578125" style="1" bestFit="1" customWidth="1"/>
    <col min="5969" max="5971" width="10" style="1"/>
    <col min="5972" max="5972" width="13.42578125" style="1" bestFit="1" customWidth="1"/>
    <col min="5973" max="6074" width="10" style="1"/>
    <col min="6075" max="6077" width="0" style="1" hidden="1" customWidth="1"/>
    <col min="6078" max="6078" width="64.85546875" style="1" customWidth="1"/>
    <col min="6079" max="6079" width="7" style="1" customWidth="1"/>
    <col min="6080" max="6081" width="1" style="1" customWidth="1"/>
    <col min="6082" max="6082" width="15.140625" style="1" customWidth="1"/>
    <col min="6083" max="6084" width="1" style="1" customWidth="1"/>
    <col min="6085" max="6129" width="0" style="1" hidden="1" customWidth="1"/>
    <col min="6130" max="6131" width="1" style="1" customWidth="1"/>
    <col min="6132" max="6132" width="17.85546875" style="1" customWidth="1"/>
    <col min="6133" max="6134" width="1" style="1" customWidth="1"/>
    <col min="6135" max="6144" width="0" style="1" hidden="1" customWidth="1"/>
    <col min="6145" max="6146" width="1" style="1" customWidth="1"/>
    <col min="6147" max="6147" width="18.7109375" style="1" bestFit="1" customWidth="1"/>
    <col min="6148" max="6151" width="1" style="1" customWidth="1"/>
    <col min="6152" max="6152" width="16.85546875" style="1" bestFit="1" customWidth="1"/>
    <col min="6153" max="6154" width="1" style="1" customWidth="1"/>
    <col min="6155" max="6199" width="0" style="1" hidden="1" customWidth="1"/>
    <col min="6200" max="6201" width="1" style="1" customWidth="1"/>
    <col min="6202" max="6202" width="17.85546875" style="1" customWidth="1"/>
    <col min="6203" max="6204" width="1" style="1" customWidth="1"/>
    <col min="6205" max="6214" width="0" style="1" hidden="1" customWidth="1"/>
    <col min="6215" max="6216" width="1" style="1" customWidth="1"/>
    <col min="6217" max="6217" width="17.85546875" style="1" customWidth="1"/>
    <col min="6218" max="6220" width="1" style="1" customWidth="1"/>
    <col min="6221" max="6221" width="1.85546875" style="1" customWidth="1"/>
    <col min="6222" max="6222" width="11.28515625" style="1" bestFit="1" customWidth="1"/>
    <col min="6223" max="6223" width="10" style="1"/>
    <col min="6224" max="6224" width="10.42578125" style="1" bestFit="1" customWidth="1"/>
    <col min="6225" max="6227" width="10" style="1"/>
    <col min="6228" max="6228" width="13.42578125" style="1" bestFit="1" customWidth="1"/>
    <col min="6229" max="6330" width="10" style="1"/>
    <col min="6331" max="6333" width="0" style="1" hidden="1" customWidth="1"/>
    <col min="6334" max="6334" width="64.85546875" style="1" customWidth="1"/>
    <col min="6335" max="6335" width="7" style="1" customWidth="1"/>
    <col min="6336" max="6337" width="1" style="1" customWidth="1"/>
    <col min="6338" max="6338" width="15.140625" style="1" customWidth="1"/>
    <col min="6339" max="6340" width="1" style="1" customWidth="1"/>
    <col min="6341" max="6385" width="0" style="1" hidden="1" customWidth="1"/>
    <col min="6386" max="6387" width="1" style="1" customWidth="1"/>
    <col min="6388" max="6388" width="17.85546875" style="1" customWidth="1"/>
    <col min="6389" max="6390" width="1" style="1" customWidth="1"/>
    <col min="6391" max="6400" width="0" style="1" hidden="1" customWidth="1"/>
    <col min="6401" max="6402" width="1" style="1" customWidth="1"/>
    <col min="6403" max="6403" width="18.7109375" style="1" bestFit="1" customWidth="1"/>
    <col min="6404" max="6407" width="1" style="1" customWidth="1"/>
    <col min="6408" max="6408" width="16.85546875" style="1" bestFit="1" customWidth="1"/>
    <col min="6409" max="6410" width="1" style="1" customWidth="1"/>
    <col min="6411" max="6455" width="0" style="1" hidden="1" customWidth="1"/>
    <col min="6456" max="6457" width="1" style="1" customWidth="1"/>
    <col min="6458" max="6458" width="17.85546875" style="1" customWidth="1"/>
    <col min="6459" max="6460" width="1" style="1" customWidth="1"/>
    <col min="6461" max="6470" width="0" style="1" hidden="1" customWidth="1"/>
    <col min="6471" max="6472" width="1" style="1" customWidth="1"/>
    <col min="6473" max="6473" width="17.85546875" style="1" customWidth="1"/>
    <col min="6474" max="6476" width="1" style="1" customWidth="1"/>
    <col min="6477" max="6477" width="1.85546875" style="1" customWidth="1"/>
    <col min="6478" max="6478" width="11.28515625" style="1" bestFit="1" customWidth="1"/>
    <col min="6479" max="6479" width="10" style="1"/>
    <col min="6480" max="6480" width="10.42578125" style="1" bestFit="1" customWidth="1"/>
    <col min="6481" max="6483" width="10" style="1"/>
    <col min="6484" max="6484" width="13.42578125" style="1" bestFit="1" customWidth="1"/>
    <col min="6485" max="6586" width="10" style="1"/>
    <col min="6587" max="6589" width="0" style="1" hidden="1" customWidth="1"/>
    <col min="6590" max="6590" width="64.85546875" style="1" customWidth="1"/>
    <col min="6591" max="6591" width="7" style="1" customWidth="1"/>
    <col min="6592" max="6593" width="1" style="1" customWidth="1"/>
    <col min="6594" max="6594" width="15.140625" style="1" customWidth="1"/>
    <col min="6595" max="6596" width="1" style="1" customWidth="1"/>
    <col min="6597" max="6641" width="0" style="1" hidden="1" customWidth="1"/>
    <col min="6642" max="6643" width="1" style="1" customWidth="1"/>
    <col min="6644" max="6644" width="17.85546875" style="1" customWidth="1"/>
    <col min="6645" max="6646" width="1" style="1" customWidth="1"/>
    <col min="6647" max="6656" width="0" style="1" hidden="1" customWidth="1"/>
    <col min="6657" max="6658" width="1" style="1" customWidth="1"/>
    <col min="6659" max="6659" width="18.7109375" style="1" bestFit="1" customWidth="1"/>
    <col min="6660" max="6663" width="1" style="1" customWidth="1"/>
    <col min="6664" max="6664" width="16.85546875" style="1" bestFit="1" customWidth="1"/>
    <col min="6665" max="6666" width="1" style="1" customWidth="1"/>
    <col min="6667" max="6711" width="0" style="1" hidden="1" customWidth="1"/>
    <col min="6712" max="6713" width="1" style="1" customWidth="1"/>
    <col min="6714" max="6714" width="17.85546875" style="1" customWidth="1"/>
    <col min="6715" max="6716" width="1" style="1" customWidth="1"/>
    <col min="6717" max="6726" width="0" style="1" hidden="1" customWidth="1"/>
    <col min="6727" max="6728" width="1" style="1" customWidth="1"/>
    <col min="6729" max="6729" width="17.85546875" style="1" customWidth="1"/>
    <col min="6730" max="6732" width="1" style="1" customWidth="1"/>
    <col min="6733" max="6733" width="1.85546875" style="1" customWidth="1"/>
    <col min="6734" max="6734" width="11.28515625" style="1" bestFit="1" customWidth="1"/>
    <col min="6735" max="6735" width="10" style="1"/>
    <col min="6736" max="6736" width="10.42578125" style="1" bestFit="1" customWidth="1"/>
    <col min="6737" max="6739" width="10" style="1"/>
    <col min="6740" max="6740" width="13.42578125" style="1" bestFit="1" customWidth="1"/>
    <col min="6741" max="6842" width="10" style="1"/>
    <col min="6843" max="6845" width="0" style="1" hidden="1" customWidth="1"/>
    <col min="6846" max="6846" width="64.85546875" style="1" customWidth="1"/>
    <col min="6847" max="6847" width="7" style="1" customWidth="1"/>
    <col min="6848" max="6849" width="1" style="1" customWidth="1"/>
    <col min="6850" max="6850" width="15.140625" style="1" customWidth="1"/>
    <col min="6851" max="6852" width="1" style="1" customWidth="1"/>
    <col min="6853" max="6897" width="0" style="1" hidden="1" customWidth="1"/>
    <col min="6898" max="6899" width="1" style="1" customWidth="1"/>
    <col min="6900" max="6900" width="17.85546875" style="1" customWidth="1"/>
    <col min="6901" max="6902" width="1" style="1" customWidth="1"/>
    <col min="6903" max="6912" width="0" style="1" hidden="1" customWidth="1"/>
    <col min="6913" max="6914" width="1" style="1" customWidth="1"/>
    <col min="6915" max="6915" width="18.7109375" style="1" bestFit="1" customWidth="1"/>
    <col min="6916" max="6919" width="1" style="1" customWidth="1"/>
    <col min="6920" max="6920" width="16.85546875" style="1" bestFit="1" customWidth="1"/>
    <col min="6921" max="6922" width="1" style="1" customWidth="1"/>
    <col min="6923" max="6967" width="0" style="1" hidden="1" customWidth="1"/>
    <col min="6968" max="6969" width="1" style="1" customWidth="1"/>
    <col min="6970" max="6970" width="17.85546875" style="1" customWidth="1"/>
    <col min="6971" max="6972" width="1" style="1" customWidth="1"/>
    <col min="6973" max="6982" width="0" style="1" hidden="1" customWidth="1"/>
    <col min="6983" max="6984" width="1" style="1" customWidth="1"/>
    <col min="6985" max="6985" width="17.85546875" style="1" customWidth="1"/>
    <col min="6986" max="6988" width="1" style="1" customWidth="1"/>
    <col min="6989" max="6989" width="1.85546875" style="1" customWidth="1"/>
    <col min="6990" max="6990" width="11.28515625" style="1" bestFit="1" customWidth="1"/>
    <col min="6991" max="6991" width="10" style="1"/>
    <col min="6992" max="6992" width="10.42578125" style="1" bestFit="1" customWidth="1"/>
    <col min="6993" max="6995" width="10" style="1"/>
    <col min="6996" max="6996" width="13.42578125" style="1" bestFit="1" customWidth="1"/>
    <col min="6997" max="7098" width="10" style="1"/>
    <col min="7099" max="7101" width="0" style="1" hidden="1" customWidth="1"/>
    <col min="7102" max="7102" width="64.85546875" style="1" customWidth="1"/>
    <col min="7103" max="7103" width="7" style="1" customWidth="1"/>
    <col min="7104" max="7105" width="1" style="1" customWidth="1"/>
    <col min="7106" max="7106" width="15.140625" style="1" customWidth="1"/>
    <col min="7107" max="7108" width="1" style="1" customWidth="1"/>
    <col min="7109" max="7153" width="0" style="1" hidden="1" customWidth="1"/>
    <col min="7154" max="7155" width="1" style="1" customWidth="1"/>
    <col min="7156" max="7156" width="17.85546875" style="1" customWidth="1"/>
    <col min="7157" max="7158" width="1" style="1" customWidth="1"/>
    <col min="7159" max="7168" width="0" style="1" hidden="1" customWidth="1"/>
    <col min="7169" max="7170" width="1" style="1" customWidth="1"/>
    <col min="7171" max="7171" width="18.7109375" style="1" bestFit="1" customWidth="1"/>
    <col min="7172" max="7175" width="1" style="1" customWidth="1"/>
    <col min="7176" max="7176" width="16.85546875" style="1" bestFit="1" customWidth="1"/>
    <col min="7177" max="7178" width="1" style="1" customWidth="1"/>
    <col min="7179" max="7223" width="0" style="1" hidden="1" customWidth="1"/>
    <col min="7224" max="7225" width="1" style="1" customWidth="1"/>
    <col min="7226" max="7226" width="17.85546875" style="1" customWidth="1"/>
    <col min="7227" max="7228" width="1" style="1" customWidth="1"/>
    <col min="7229" max="7238" width="0" style="1" hidden="1" customWidth="1"/>
    <col min="7239" max="7240" width="1" style="1" customWidth="1"/>
    <col min="7241" max="7241" width="17.85546875" style="1" customWidth="1"/>
    <col min="7242" max="7244" width="1" style="1" customWidth="1"/>
    <col min="7245" max="7245" width="1.85546875" style="1" customWidth="1"/>
    <col min="7246" max="7246" width="11.28515625" style="1" bestFit="1" customWidth="1"/>
    <col min="7247" max="7247" width="10" style="1"/>
    <col min="7248" max="7248" width="10.42578125" style="1" bestFit="1" customWidth="1"/>
    <col min="7249" max="7251" width="10" style="1"/>
    <col min="7252" max="7252" width="13.42578125" style="1" bestFit="1" customWidth="1"/>
    <col min="7253" max="7354" width="10" style="1"/>
    <col min="7355" max="7357" width="0" style="1" hidden="1" customWidth="1"/>
    <col min="7358" max="7358" width="64.85546875" style="1" customWidth="1"/>
    <col min="7359" max="7359" width="7" style="1" customWidth="1"/>
    <col min="7360" max="7361" width="1" style="1" customWidth="1"/>
    <col min="7362" max="7362" width="15.140625" style="1" customWidth="1"/>
    <col min="7363" max="7364" width="1" style="1" customWidth="1"/>
    <col min="7365" max="7409" width="0" style="1" hidden="1" customWidth="1"/>
    <col min="7410" max="7411" width="1" style="1" customWidth="1"/>
    <col min="7412" max="7412" width="17.85546875" style="1" customWidth="1"/>
    <col min="7413" max="7414" width="1" style="1" customWidth="1"/>
    <col min="7415" max="7424" width="0" style="1" hidden="1" customWidth="1"/>
    <col min="7425" max="7426" width="1" style="1" customWidth="1"/>
    <col min="7427" max="7427" width="18.7109375" style="1" bestFit="1" customWidth="1"/>
    <col min="7428" max="7431" width="1" style="1" customWidth="1"/>
    <col min="7432" max="7432" width="16.85546875" style="1" bestFit="1" customWidth="1"/>
    <col min="7433" max="7434" width="1" style="1" customWidth="1"/>
    <col min="7435" max="7479" width="0" style="1" hidden="1" customWidth="1"/>
    <col min="7480" max="7481" width="1" style="1" customWidth="1"/>
    <col min="7482" max="7482" width="17.85546875" style="1" customWidth="1"/>
    <col min="7483" max="7484" width="1" style="1" customWidth="1"/>
    <col min="7485" max="7494" width="0" style="1" hidden="1" customWidth="1"/>
    <col min="7495" max="7496" width="1" style="1" customWidth="1"/>
    <col min="7497" max="7497" width="17.85546875" style="1" customWidth="1"/>
    <col min="7498" max="7500" width="1" style="1" customWidth="1"/>
    <col min="7501" max="7501" width="1.85546875" style="1" customWidth="1"/>
    <col min="7502" max="7502" width="11.28515625" style="1" bestFit="1" customWidth="1"/>
    <col min="7503" max="7503" width="10" style="1"/>
    <col min="7504" max="7504" width="10.42578125" style="1" bestFit="1" customWidth="1"/>
    <col min="7505" max="7507" width="10" style="1"/>
    <col min="7508" max="7508" width="13.42578125" style="1" bestFit="1" customWidth="1"/>
    <col min="7509" max="7610" width="10" style="1"/>
    <col min="7611" max="7613" width="0" style="1" hidden="1" customWidth="1"/>
    <col min="7614" max="7614" width="64.85546875" style="1" customWidth="1"/>
    <col min="7615" max="7615" width="7" style="1" customWidth="1"/>
    <col min="7616" max="7617" width="1" style="1" customWidth="1"/>
    <col min="7618" max="7618" width="15.140625" style="1" customWidth="1"/>
    <col min="7619" max="7620" width="1" style="1" customWidth="1"/>
    <col min="7621" max="7665" width="0" style="1" hidden="1" customWidth="1"/>
    <col min="7666" max="7667" width="1" style="1" customWidth="1"/>
    <col min="7668" max="7668" width="17.85546875" style="1" customWidth="1"/>
    <col min="7669" max="7670" width="1" style="1" customWidth="1"/>
    <col min="7671" max="7680" width="0" style="1" hidden="1" customWidth="1"/>
    <col min="7681" max="7682" width="1" style="1" customWidth="1"/>
    <col min="7683" max="7683" width="18.7109375" style="1" bestFit="1" customWidth="1"/>
    <col min="7684" max="7687" width="1" style="1" customWidth="1"/>
    <col min="7688" max="7688" width="16.85546875" style="1" bestFit="1" customWidth="1"/>
    <col min="7689" max="7690" width="1" style="1" customWidth="1"/>
    <col min="7691" max="7735" width="0" style="1" hidden="1" customWidth="1"/>
    <col min="7736" max="7737" width="1" style="1" customWidth="1"/>
    <col min="7738" max="7738" width="17.85546875" style="1" customWidth="1"/>
    <col min="7739" max="7740" width="1" style="1" customWidth="1"/>
    <col min="7741" max="7750" width="0" style="1" hidden="1" customWidth="1"/>
    <col min="7751" max="7752" width="1" style="1" customWidth="1"/>
    <col min="7753" max="7753" width="17.85546875" style="1" customWidth="1"/>
    <col min="7754" max="7756" width="1" style="1" customWidth="1"/>
    <col min="7757" max="7757" width="1.85546875" style="1" customWidth="1"/>
    <col min="7758" max="7758" width="11.28515625" style="1" bestFit="1" customWidth="1"/>
    <col min="7759" max="7759" width="10" style="1"/>
    <col min="7760" max="7760" width="10.42578125" style="1" bestFit="1" customWidth="1"/>
    <col min="7761" max="7763" width="10" style="1"/>
    <col min="7764" max="7764" width="13.42578125" style="1" bestFit="1" customWidth="1"/>
    <col min="7765" max="7866" width="10" style="1"/>
    <col min="7867" max="7869" width="0" style="1" hidden="1" customWidth="1"/>
    <col min="7870" max="7870" width="64.85546875" style="1" customWidth="1"/>
    <col min="7871" max="7871" width="7" style="1" customWidth="1"/>
    <col min="7872" max="7873" width="1" style="1" customWidth="1"/>
    <col min="7874" max="7874" width="15.140625" style="1" customWidth="1"/>
    <col min="7875" max="7876" width="1" style="1" customWidth="1"/>
    <col min="7877" max="7921" width="0" style="1" hidden="1" customWidth="1"/>
    <col min="7922" max="7923" width="1" style="1" customWidth="1"/>
    <col min="7924" max="7924" width="17.85546875" style="1" customWidth="1"/>
    <col min="7925" max="7926" width="1" style="1" customWidth="1"/>
    <col min="7927" max="7936" width="0" style="1" hidden="1" customWidth="1"/>
    <col min="7937" max="7938" width="1" style="1" customWidth="1"/>
    <col min="7939" max="7939" width="18.7109375" style="1" bestFit="1" customWidth="1"/>
    <col min="7940" max="7943" width="1" style="1" customWidth="1"/>
    <col min="7944" max="7944" width="16.85546875" style="1" bestFit="1" customWidth="1"/>
    <col min="7945" max="7946" width="1" style="1" customWidth="1"/>
    <col min="7947" max="7991" width="0" style="1" hidden="1" customWidth="1"/>
    <col min="7992" max="7993" width="1" style="1" customWidth="1"/>
    <col min="7994" max="7994" width="17.85546875" style="1" customWidth="1"/>
    <col min="7995" max="7996" width="1" style="1" customWidth="1"/>
    <col min="7997" max="8006" width="0" style="1" hidden="1" customWidth="1"/>
    <col min="8007" max="8008" width="1" style="1" customWidth="1"/>
    <col min="8009" max="8009" width="17.85546875" style="1" customWidth="1"/>
    <col min="8010" max="8012" width="1" style="1" customWidth="1"/>
    <col min="8013" max="8013" width="1.85546875" style="1" customWidth="1"/>
    <col min="8014" max="8014" width="11.28515625" style="1" bestFit="1" customWidth="1"/>
    <col min="8015" max="8015" width="10" style="1"/>
    <col min="8016" max="8016" width="10.42578125" style="1" bestFit="1" customWidth="1"/>
    <col min="8017" max="8019" width="10" style="1"/>
    <col min="8020" max="8020" width="13.42578125" style="1" bestFit="1" customWidth="1"/>
    <col min="8021" max="8122" width="10" style="1"/>
    <col min="8123" max="8125" width="0" style="1" hidden="1" customWidth="1"/>
    <col min="8126" max="8126" width="64.85546875" style="1" customWidth="1"/>
    <col min="8127" max="8127" width="7" style="1" customWidth="1"/>
    <col min="8128" max="8129" width="1" style="1" customWidth="1"/>
    <col min="8130" max="8130" width="15.140625" style="1" customWidth="1"/>
    <col min="8131" max="8132" width="1" style="1" customWidth="1"/>
    <col min="8133" max="8177" width="0" style="1" hidden="1" customWidth="1"/>
    <col min="8178" max="8179" width="1" style="1" customWidth="1"/>
    <col min="8180" max="8180" width="17.85546875" style="1" customWidth="1"/>
    <col min="8181" max="8182" width="1" style="1" customWidth="1"/>
    <col min="8183" max="8192" width="0" style="1" hidden="1" customWidth="1"/>
    <col min="8193" max="8194" width="1" style="1" customWidth="1"/>
    <col min="8195" max="8195" width="18.7109375" style="1" bestFit="1" customWidth="1"/>
    <col min="8196" max="8199" width="1" style="1" customWidth="1"/>
    <col min="8200" max="8200" width="16.85546875" style="1" bestFit="1" customWidth="1"/>
    <col min="8201" max="8202" width="1" style="1" customWidth="1"/>
    <col min="8203" max="8247" width="0" style="1" hidden="1" customWidth="1"/>
    <col min="8248" max="8249" width="1" style="1" customWidth="1"/>
    <col min="8250" max="8250" width="17.85546875" style="1" customWidth="1"/>
    <col min="8251" max="8252" width="1" style="1" customWidth="1"/>
    <col min="8253" max="8262" width="0" style="1" hidden="1" customWidth="1"/>
    <col min="8263" max="8264" width="1" style="1" customWidth="1"/>
    <col min="8265" max="8265" width="17.85546875" style="1" customWidth="1"/>
    <col min="8266" max="8268" width="1" style="1" customWidth="1"/>
    <col min="8269" max="8269" width="1.85546875" style="1" customWidth="1"/>
    <col min="8270" max="8270" width="11.28515625" style="1" bestFit="1" customWidth="1"/>
    <col min="8271" max="8271" width="10" style="1"/>
    <col min="8272" max="8272" width="10.42578125" style="1" bestFit="1" customWidth="1"/>
    <col min="8273" max="8275" width="10" style="1"/>
    <col min="8276" max="8276" width="13.42578125" style="1" bestFit="1" customWidth="1"/>
    <col min="8277" max="8378" width="10" style="1"/>
    <col min="8379" max="8381" width="0" style="1" hidden="1" customWidth="1"/>
    <col min="8382" max="8382" width="64.85546875" style="1" customWidth="1"/>
    <col min="8383" max="8383" width="7" style="1" customWidth="1"/>
    <col min="8384" max="8385" width="1" style="1" customWidth="1"/>
    <col min="8386" max="8386" width="15.140625" style="1" customWidth="1"/>
    <col min="8387" max="8388" width="1" style="1" customWidth="1"/>
    <col min="8389" max="8433" width="0" style="1" hidden="1" customWidth="1"/>
    <col min="8434" max="8435" width="1" style="1" customWidth="1"/>
    <col min="8436" max="8436" width="17.85546875" style="1" customWidth="1"/>
    <col min="8437" max="8438" width="1" style="1" customWidth="1"/>
    <col min="8439" max="8448" width="0" style="1" hidden="1" customWidth="1"/>
    <col min="8449" max="8450" width="1" style="1" customWidth="1"/>
    <col min="8451" max="8451" width="18.7109375" style="1" bestFit="1" customWidth="1"/>
    <col min="8452" max="8455" width="1" style="1" customWidth="1"/>
    <col min="8456" max="8456" width="16.85546875" style="1" bestFit="1" customWidth="1"/>
    <col min="8457" max="8458" width="1" style="1" customWidth="1"/>
    <col min="8459" max="8503" width="0" style="1" hidden="1" customWidth="1"/>
    <col min="8504" max="8505" width="1" style="1" customWidth="1"/>
    <col min="8506" max="8506" width="17.85546875" style="1" customWidth="1"/>
    <col min="8507" max="8508" width="1" style="1" customWidth="1"/>
    <col min="8509" max="8518" width="0" style="1" hidden="1" customWidth="1"/>
    <col min="8519" max="8520" width="1" style="1" customWidth="1"/>
    <col min="8521" max="8521" width="17.85546875" style="1" customWidth="1"/>
    <col min="8522" max="8524" width="1" style="1" customWidth="1"/>
    <col min="8525" max="8525" width="1.85546875" style="1" customWidth="1"/>
    <col min="8526" max="8526" width="11.28515625" style="1" bestFit="1" customWidth="1"/>
    <col min="8527" max="8527" width="10" style="1"/>
    <col min="8528" max="8528" width="10.42578125" style="1" bestFit="1" customWidth="1"/>
    <col min="8529" max="8531" width="10" style="1"/>
    <col min="8532" max="8532" width="13.42578125" style="1" bestFit="1" customWidth="1"/>
    <col min="8533" max="8634" width="10" style="1"/>
    <col min="8635" max="8637" width="0" style="1" hidden="1" customWidth="1"/>
    <col min="8638" max="8638" width="64.85546875" style="1" customWidth="1"/>
    <col min="8639" max="8639" width="7" style="1" customWidth="1"/>
    <col min="8640" max="8641" width="1" style="1" customWidth="1"/>
    <col min="8642" max="8642" width="15.140625" style="1" customWidth="1"/>
    <col min="8643" max="8644" width="1" style="1" customWidth="1"/>
    <col min="8645" max="8689" width="0" style="1" hidden="1" customWidth="1"/>
    <col min="8690" max="8691" width="1" style="1" customWidth="1"/>
    <col min="8692" max="8692" width="17.85546875" style="1" customWidth="1"/>
    <col min="8693" max="8694" width="1" style="1" customWidth="1"/>
    <col min="8695" max="8704" width="0" style="1" hidden="1" customWidth="1"/>
    <col min="8705" max="8706" width="1" style="1" customWidth="1"/>
    <col min="8707" max="8707" width="18.7109375" style="1" bestFit="1" customWidth="1"/>
    <col min="8708" max="8711" width="1" style="1" customWidth="1"/>
    <col min="8712" max="8712" width="16.85546875" style="1" bestFit="1" customWidth="1"/>
    <col min="8713" max="8714" width="1" style="1" customWidth="1"/>
    <col min="8715" max="8759" width="0" style="1" hidden="1" customWidth="1"/>
    <col min="8760" max="8761" width="1" style="1" customWidth="1"/>
    <col min="8762" max="8762" width="17.85546875" style="1" customWidth="1"/>
    <col min="8763" max="8764" width="1" style="1" customWidth="1"/>
    <col min="8765" max="8774" width="0" style="1" hidden="1" customWidth="1"/>
    <col min="8775" max="8776" width="1" style="1" customWidth="1"/>
    <col min="8777" max="8777" width="17.85546875" style="1" customWidth="1"/>
    <col min="8778" max="8780" width="1" style="1" customWidth="1"/>
    <col min="8781" max="8781" width="1.85546875" style="1" customWidth="1"/>
    <col min="8782" max="8782" width="11.28515625" style="1" bestFit="1" customWidth="1"/>
    <col min="8783" max="8783" width="10" style="1"/>
    <col min="8784" max="8784" width="10.42578125" style="1" bestFit="1" customWidth="1"/>
    <col min="8785" max="8787" width="10" style="1"/>
    <col min="8788" max="8788" width="13.42578125" style="1" bestFit="1" customWidth="1"/>
    <col min="8789" max="8890" width="10" style="1"/>
    <col min="8891" max="8893" width="0" style="1" hidden="1" customWidth="1"/>
    <col min="8894" max="8894" width="64.85546875" style="1" customWidth="1"/>
    <col min="8895" max="8895" width="7" style="1" customWidth="1"/>
    <col min="8896" max="8897" width="1" style="1" customWidth="1"/>
    <col min="8898" max="8898" width="15.140625" style="1" customWidth="1"/>
    <col min="8899" max="8900" width="1" style="1" customWidth="1"/>
    <col min="8901" max="8945" width="0" style="1" hidden="1" customWidth="1"/>
    <col min="8946" max="8947" width="1" style="1" customWidth="1"/>
    <col min="8948" max="8948" width="17.85546875" style="1" customWidth="1"/>
    <col min="8949" max="8950" width="1" style="1" customWidth="1"/>
    <col min="8951" max="8960" width="0" style="1" hidden="1" customWidth="1"/>
    <col min="8961" max="8962" width="1" style="1" customWidth="1"/>
    <col min="8963" max="8963" width="18.7109375" style="1" bestFit="1" customWidth="1"/>
    <col min="8964" max="8967" width="1" style="1" customWidth="1"/>
    <col min="8968" max="8968" width="16.85546875" style="1" bestFit="1" customWidth="1"/>
    <col min="8969" max="8970" width="1" style="1" customWidth="1"/>
    <col min="8971" max="9015" width="0" style="1" hidden="1" customWidth="1"/>
    <col min="9016" max="9017" width="1" style="1" customWidth="1"/>
    <col min="9018" max="9018" width="17.85546875" style="1" customWidth="1"/>
    <col min="9019" max="9020" width="1" style="1" customWidth="1"/>
    <col min="9021" max="9030" width="0" style="1" hidden="1" customWidth="1"/>
    <col min="9031" max="9032" width="1" style="1" customWidth="1"/>
    <col min="9033" max="9033" width="17.85546875" style="1" customWidth="1"/>
    <col min="9034" max="9036" width="1" style="1" customWidth="1"/>
    <col min="9037" max="9037" width="1.85546875" style="1" customWidth="1"/>
    <col min="9038" max="9038" width="11.28515625" style="1" bestFit="1" customWidth="1"/>
    <col min="9039" max="9039" width="10" style="1"/>
    <col min="9040" max="9040" width="10.42578125" style="1" bestFit="1" customWidth="1"/>
    <col min="9041" max="9043" width="10" style="1"/>
    <col min="9044" max="9044" width="13.42578125" style="1" bestFit="1" customWidth="1"/>
    <col min="9045" max="9146" width="10" style="1"/>
    <col min="9147" max="9149" width="0" style="1" hidden="1" customWidth="1"/>
    <col min="9150" max="9150" width="64.85546875" style="1" customWidth="1"/>
    <col min="9151" max="9151" width="7" style="1" customWidth="1"/>
    <col min="9152" max="9153" width="1" style="1" customWidth="1"/>
    <col min="9154" max="9154" width="15.140625" style="1" customWidth="1"/>
    <col min="9155" max="9156" width="1" style="1" customWidth="1"/>
    <col min="9157" max="9201" width="0" style="1" hidden="1" customWidth="1"/>
    <col min="9202" max="9203" width="1" style="1" customWidth="1"/>
    <col min="9204" max="9204" width="17.85546875" style="1" customWidth="1"/>
    <col min="9205" max="9206" width="1" style="1" customWidth="1"/>
    <col min="9207" max="9216" width="0" style="1" hidden="1" customWidth="1"/>
    <col min="9217" max="9218" width="1" style="1" customWidth="1"/>
    <col min="9219" max="9219" width="18.7109375" style="1" bestFit="1" customWidth="1"/>
    <col min="9220" max="9223" width="1" style="1" customWidth="1"/>
    <col min="9224" max="9224" width="16.85546875" style="1" bestFit="1" customWidth="1"/>
    <col min="9225" max="9226" width="1" style="1" customWidth="1"/>
    <col min="9227" max="9271" width="0" style="1" hidden="1" customWidth="1"/>
    <col min="9272" max="9273" width="1" style="1" customWidth="1"/>
    <col min="9274" max="9274" width="17.85546875" style="1" customWidth="1"/>
    <col min="9275" max="9276" width="1" style="1" customWidth="1"/>
    <col min="9277" max="9286" width="0" style="1" hidden="1" customWidth="1"/>
    <col min="9287" max="9288" width="1" style="1" customWidth="1"/>
    <col min="9289" max="9289" width="17.85546875" style="1" customWidth="1"/>
    <col min="9290" max="9292" width="1" style="1" customWidth="1"/>
    <col min="9293" max="9293" width="1.85546875" style="1" customWidth="1"/>
    <col min="9294" max="9294" width="11.28515625" style="1" bestFit="1" customWidth="1"/>
    <col min="9295" max="9295" width="10" style="1"/>
    <col min="9296" max="9296" width="10.42578125" style="1" bestFit="1" customWidth="1"/>
    <col min="9297" max="9299" width="10" style="1"/>
    <col min="9300" max="9300" width="13.42578125" style="1" bestFit="1" customWidth="1"/>
    <col min="9301" max="9402" width="10" style="1"/>
    <col min="9403" max="9405" width="0" style="1" hidden="1" customWidth="1"/>
    <col min="9406" max="9406" width="64.85546875" style="1" customWidth="1"/>
    <col min="9407" max="9407" width="7" style="1" customWidth="1"/>
    <col min="9408" max="9409" width="1" style="1" customWidth="1"/>
    <col min="9410" max="9410" width="15.140625" style="1" customWidth="1"/>
    <col min="9411" max="9412" width="1" style="1" customWidth="1"/>
    <col min="9413" max="9457" width="0" style="1" hidden="1" customWidth="1"/>
    <col min="9458" max="9459" width="1" style="1" customWidth="1"/>
    <col min="9460" max="9460" width="17.85546875" style="1" customWidth="1"/>
    <col min="9461" max="9462" width="1" style="1" customWidth="1"/>
    <col min="9463" max="9472" width="0" style="1" hidden="1" customWidth="1"/>
    <col min="9473" max="9474" width="1" style="1" customWidth="1"/>
    <col min="9475" max="9475" width="18.7109375" style="1" bestFit="1" customWidth="1"/>
    <col min="9476" max="9479" width="1" style="1" customWidth="1"/>
    <col min="9480" max="9480" width="16.85546875" style="1" bestFit="1" customWidth="1"/>
    <col min="9481" max="9482" width="1" style="1" customWidth="1"/>
    <col min="9483" max="9527" width="0" style="1" hidden="1" customWidth="1"/>
    <col min="9528" max="9529" width="1" style="1" customWidth="1"/>
    <col min="9530" max="9530" width="17.85546875" style="1" customWidth="1"/>
    <col min="9531" max="9532" width="1" style="1" customWidth="1"/>
    <col min="9533" max="9542" width="0" style="1" hidden="1" customWidth="1"/>
    <col min="9543" max="9544" width="1" style="1" customWidth="1"/>
    <col min="9545" max="9545" width="17.85546875" style="1" customWidth="1"/>
    <col min="9546" max="9548" width="1" style="1" customWidth="1"/>
    <col min="9549" max="9549" width="1.85546875" style="1" customWidth="1"/>
    <col min="9550" max="9550" width="11.28515625" style="1" bestFit="1" customWidth="1"/>
    <col min="9551" max="9551" width="10" style="1"/>
    <col min="9552" max="9552" width="10.42578125" style="1" bestFit="1" customWidth="1"/>
    <col min="9553" max="9555" width="10" style="1"/>
    <col min="9556" max="9556" width="13.42578125" style="1" bestFit="1" customWidth="1"/>
    <col min="9557" max="9658" width="10" style="1"/>
    <col min="9659" max="9661" width="0" style="1" hidden="1" customWidth="1"/>
    <col min="9662" max="9662" width="64.85546875" style="1" customWidth="1"/>
    <col min="9663" max="9663" width="7" style="1" customWidth="1"/>
    <col min="9664" max="9665" width="1" style="1" customWidth="1"/>
    <col min="9666" max="9666" width="15.140625" style="1" customWidth="1"/>
    <col min="9667" max="9668" width="1" style="1" customWidth="1"/>
    <col min="9669" max="9713" width="0" style="1" hidden="1" customWidth="1"/>
    <col min="9714" max="9715" width="1" style="1" customWidth="1"/>
    <col min="9716" max="9716" width="17.85546875" style="1" customWidth="1"/>
    <col min="9717" max="9718" width="1" style="1" customWidth="1"/>
    <col min="9719" max="9728" width="0" style="1" hidden="1" customWidth="1"/>
    <col min="9729" max="9730" width="1" style="1" customWidth="1"/>
    <col min="9731" max="9731" width="18.7109375" style="1" bestFit="1" customWidth="1"/>
    <col min="9732" max="9735" width="1" style="1" customWidth="1"/>
    <col min="9736" max="9736" width="16.85546875" style="1" bestFit="1" customWidth="1"/>
    <col min="9737" max="9738" width="1" style="1" customWidth="1"/>
    <col min="9739" max="9783" width="0" style="1" hidden="1" customWidth="1"/>
    <col min="9784" max="9785" width="1" style="1" customWidth="1"/>
    <col min="9786" max="9786" width="17.85546875" style="1" customWidth="1"/>
    <col min="9787" max="9788" width="1" style="1" customWidth="1"/>
    <col min="9789" max="9798" width="0" style="1" hidden="1" customWidth="1"/>
    <col min="9799" max="9800" width="1" style="1" customWidth="1"/>
    <col min="9801" max="9801" width="17.85546875" style="1" customWidth="1"/>
    <col min="9802" max="9804" width="1" style="1" customWidth="1"/>
    <col min="9805" max="9805" width="1.85546875" style="1" customWidth="1"/>
    <col min="9806" max="9806" width="11.28515625" style="1" bestFit="1" customWidth="1"/>
    <col min="9807" max="9807" width="10" style="1"/>
    <col min="9808" max="9808" width="10.42578125" style="1" bestFit="1" customWidth="1"/>
    <col min="9809" max="9811" width="10" style="1"/>
    <col min="9812" max="9812" width="13.42578125" style="1" bestFit="1" customWidth="1"/>
    <col min="9813" max="9914" width="10" style="1"/>
    <col min="9915" max="9917" width="0" style="1" hidden="1" customWidth="1"/>
    <col min="9918" max="9918" width="64.85546875" style="1" customWidth="1"/>
    <col min="9919" max="9919" width="7" style="1" customWidth="1"/>
    <col min="9920" max="9921" width="1" style="1" customWidth="1"/>
    <col min="9922" max="9922" width="15.140625" style="1" customWidth="1"/>
    <col min="9923" max="9924" width="1" style="1" customWidth="1"/>
    <col min="9925" max="9969" width="0" style="1" hidden="1" customWidth="1"/>
    <col min="9970" max="9971" width="1" style="1" customWidth="1"/>
    <col min="9972" max="9972" width="17.85546875" style="1" customWidth="1"/>
    <col min="9973" max="9974" width="1" style="1" customWidth="1"/>
    <col min="9975" max="9984" width="0" style="1" hidden="1" customWidth="1"/>
    <col min="9985" max="9986" width="1" style="1" customWidth="1"/>
    <col min="9987" max="9987" width="18.7109375" style="1" bestFit="1" customWidth="1"/>
    <col min="9988" max="9991" width="1" style="1" customWidth="1"/>
    <col min="9992" max="9992" width="16.85546875" style="1" bestFit="1" customWidth="1"/>
    <col min="9993" max="9994" width="1" style="1" customWidth="1"/>
    <col min="9995" max="10039" width="0" style="1" hidden="1" customWidth="1"/>
    <col min="10040" max="10041" width="1" style="1" customWidth="1"/>
    <col min="10042" max="10042" width="17.85546875" style="1" customWidth="1"/>
    <col min="10043" max="10044" width="1" style="1" customWidth="1"/>
    <col min="10045" max="10054" width="0" style="1" hidden="1" customWidth="1"/>
    <col min="10055" max="10056" width="1" style="1" customWidth="1"/>
    <col min="10057" max="10057" width="17.85546875" style="1" customWidth="1"/>
    <col min="10058" max="10060" width="1" style="1" customWidth="1"/>
    <col min="10061" max="10061" width="1.85546875" style="1" customWidth="1"/>
    <col min="10062" max="10062" width="11.28515625" style="1" bestFit="1" customWidth="1"/>
    <col min="10063" max="10063" width="10" style="1"/>
    <col min="10064" max="10064" width="10.42578125" style="1" bestFit="1" customWidth="1"/>
    <col min="10065" max="10067" width="10" style="1"/>
    <col min="10068" max="10068" width="13.42578125" style="1" bestFit="1" customWidth="1"/>
    <col min="10069" max="10170" width="10" style="1"/>
    <col min="10171" max="10173" width="0" style="1" hidden="1" customWidth="1"/>
    <col min="10174" max="10174" width="64.85546875" style="1" customWidth="1"/>
    <col min="10175" max="10175" width="7" style="1" customWidth="1"/>
    <col min="10176" max="10177" width="1" style="1" customWidth="1"/>
    <col min="10178" max="10178" width="15.140625" style="1" customWidth="1"/>
    <col min="10179" max="10180" width="1" style="1" customWidth="1"/>
    <col min="10181" max="10225" width="0" style="1" hidden="1" customWidth="1"/>
    <col min="10226" max="10227" width="1" style="1" customWidth="1"/>
    <col min="10228" max="10228" width="17.85546875" style="1" customWidth="1"/>
    <col min="10229" max="10230" width="1" style="1" customWidth="1"/>
    <col min="10231" max="10240" width="0" style="1" hidden="1" customWidth="1"/>
    <col min="10241" max="10242" width="1" style="1" customWidth="1"/>
    <col min="10243" max="10243" width="18.7109375" style="1" bestFit="1" customWidth="1"/>
    <col min="10244" max="10247" width="1" style="1" customWidth="1"/>
    <col min="10248" max="10248" width="16.85546875" style="1" bestFit="1" customWidth="1"/>
    <col min="10249" max="10250" width="1" style="1" customWidth="1"/>
    <col min="10251" max="10295" width="0" style="1" hidden="1" customWidth="1"/>
    <col min="10296" max="10297" width="1" style="1" customWidth="1"/>
    <col min="10298" max="10298" width="17.85546875" style="1" customWidth="1"/>
    <col min="10299" max="10300" width="1" style="1" customWidth="1"/>
    <col min="10301" max="10310" width="0" style="1" hidden="1" customWidth="1"/>
    <col min="10311" max="10312" width="1" style="1" customWidth="1"/>
    <col min="10313" max="10313" width="17.85546875" style="1" customWidth="1"/>
    <col min="10314" max="10316" width="1" style="1" customWidth="1"/>
    <col min="10317" max="10317" width="1.85546875" style="1" customWidth="1"/>
    <col min="10318" max="10318" width="11.28515625" style="1" bestFit="1" customWidth="1"/>
    <col min="10319" max="10319" width="10" style="1"/>
    <col min="10320" max="10320" width="10.42578125" style="1" bestFit="1" customWidth="1"/>
    <col min="10321" max="10323" width="10" style="1"/>
    <col min="10324" max="10324" width="13.42578125" style="1" bestFit="1" customWidth="1"/>
    <col min="10325" max="10426" width="10" style="1"/>
    <col min="10427" max="10429" width="0" style="1" hidden="1" customWidth="1"/>
    <col min="10430" max="10430" width="64.85546875" style="1" customWidth="1"/>
    <col min="10431" max="10431" width="7" style="1" customWidth="1"/>
    <col min="10432" max="10433" width="1" style="1" customWidth="1"/>
    <col min="10434" max="10434" width="15.140625" style="1" customWidth="1"/>
    <col min="10435" max="10436" width="1" style="1" customWidth="1"/>
    <col min="10437" max="10481" width="0" style="1" hidden="1" customWidth="1"/>
    <col min="10482" max="10483" width="1" style="1" customWidth="1"/>
    <col min="10484" max="10484" width="17.85546875" style="1" customWidth="1"/>
    <col min="10485" max="10486" width="1" style="1" customWidth="1"/>
    <col min="10487" max="10496" width="0" style="1" hidden="1" customWidth="1"/>
    <col min="10497" max="10498" width="1" style="1" customWidth="1"/>
    <col min="10499" max="10499" width="18.7109375" style="1" bestFit="1" customWidth="1"/>
    <col min="10500" max="10503" width="1" style="1" customWidth="1"/>
    <col min="10504" max="10504" width="16.85546875" style="1" bestFit="1" customWidth="1"/>
    <col min="10505" max="10506" width="1" style="1" customWidth="1"/>
    <col min="10507" max="10551" width="0" style="1" hidden="1" customWidth="1"/>
    <col min="10552" max="10553" width="1" style="1" customWidth="1"/>
    <col min="10554" max="10554" width="17.85546875" style="1" customWidth="1"/>
    <col min="10555" max="10556" width="1" style="1" customWidth="1"/>
    <col min="10557" max="10566" width="0" style="1" hidden="1" customWidth="1"/>
    <col min="10567" max="10568" width="1" style="1" customWidth="1"/>
    <col min="10569" max="10569" width="17.85546875" style="1" customWidth="1"/>
    <col min="10570" max="10572" width="1" style="1" customWidth="1"/>
    <col min="10573" max="10573" width="1.85546875" style="1" customWidth="1"/>
    <col min="10574" max="10574" width="11.28515625" style="1" bestFit="1" customWidth="1"/>
    <col min="10575" max="10575" width="10" style="1"/>
    <col min="10576" max="10576" width="10.42578125" style="1" bestFit="1" customWidth="1"/>
    <col min="10577" max="10579" width="10" style="1"/>
    <col min="10580" max="10580" width="13.42578125" style="1" bestFit="1" customWidth="1"/>
    <col min="10581" max="10682" width="10" style="1"/>
    <col min="10683" max="10685" width="0" style="1" hidden="1" customWidth="1"/>
    <col min="10686" max="10686" width="64.85546875" style="1" customWidth="1"/>
    <col min="10687" max="10687" width="7" style="1" customWidth="1"/>
    <col min="10688" max="10689" width="1" style="1" customWidth="1"/>
    <col min="10690" max="10690" width="15.140625" style="1" customWidth="1"/>
    <col min="10691" max="10692" width="1" style="1" customWidth="1"/>
    <col min="10693" max="10737" width="0" style="1" hidden="1" customWidth="1"/>
    <col min="10738" max="10739" width="1" style="1" customWidth="1"/>
    <col min="10740" max="10740" width="17.85546875" style="1" customWidth="1"/>
    <col min="10741" max="10742" width="1" style="1" customWidth="1"/>
    <col min="10743" max="10752" width="0" style="1" hidden="1" customWidth="1"/>
    <col min="10753" max="10754" width="1" style="1" customWidth="1"/>
    <col min="10755" max="10755" width="18.7109375" style="1" bestFit="1" customWidth="1"/>
    <col min="10756" max="10759" width="1" style="1" customWidth="1"/>
    <col min="10760" max="10760" width="16.85546875" style="1" bestFit="1" customWidth="1"/>
    <col min="10761" max="10762" width="1" style="1" customWidth="1"/>
    <col min="10763" max="10807" width="0" style="1" hidden="1" customWidth="1"/>
    <col min="10808" max="10809" width="1" style="1" customWidth="1"/>
    <col min="10810" max="10810" width="17.85546875" style="1" customWidth="1"/>
    <col min="10811" max="10812" width="1" style="1" customWidth="1"/>
    <col min="10813" max="10822" width="0" style="1" hidden="1" customWidth="1"/>
    <col min="10823" max="10824" width="1" style="1" customWidth="1"/>
    <col min="10825" max="10825" width="17.85546875" style="1" customWidth="1"/>
    <col min="10826" max="10828" width="1" style="1" customWidth="1"/>
    <col min="10829" max="10829" width="1.85546875" style="1" customWidth="1"/>
    <col min="10830" max="10830" width="11.28515625" style="1" bestFit="1" customWidth="1"/>
    <col min="10831" max="10831" width="10" style="1"/>
    <col min="10832" max="10832" width="10.42578125" style="1" bestFit="1" customWidth="1"/>
    <col min="10833" max="10835" width="10" style="1"/>
    <col min="10836" max="10836" width="13.42578125" style="1" bestFit="1" customWidth="1"/>
    <col min="10837" max="10938" width="10" style="1"/>
    <col min="10939" max="10941" width="0" style="1" hidden="1" customWidth="1"/>
    <col min="10942" max="10942" width="64.85546875" style="1" customWidth="1"/>
    <col min="10943" max="10943" width="7" style="1" customWidth="1"/>
    <col min="10944" max="10945" width="1" style="1" customWidth="1"/>
    <col min="10946" max="10946" width="15.140625" style="1" customWidth="1"/>
    <col min="10947" max="10948" width="1" style="1" customWidth="1"/>
    <col min="10949" max="10993" width="0" style="1" hidden="1" customWidth="1"/>
    <col min="10994" max="10995" width="1" style="1" customWidth="1"/>
    <col min="10996" max="10996" width="17.85546875" style="1" customWidth="1"/>
    <col min="10997" max="10998" width="1" style="1" customWidth="1"/>
    <col min="10999" max="11008" width="0" style="1" hidden="1" customWidth="1"/>
    <col min="11009" max="11010" width="1" style="1" customWidth="1"/>
    <col min="11011" max="11011" width="18.7109375" style="1" bestFit="1" customWidth="1"/>
    <col min="11012" max="11015" width="1" style="1" customWidth="1"/>
    <col min="11016" max="11016" width="16.85546875" style="1" bestFit="1" customWidth="1"/>
    <col min="11017" max="11018" width="1" style="1" customWidth="1"/>
    <col min="11019" max="11063" width="0" style="1" hidden="1" customWidth="1"/>
    <col min="11064" max="11065" width="1" style="1" customWidth="1"/>
    <col min="11066" max="11066" width="17.85546875" style="1" customWidth="1"/>
    <col min="11067" max="11068" width="1" style="1" customWidth="1"/>
    <col min="11069" max="11078" width="0" style="1" hidden="1" customWidth="1"/>
    <col min="11079" max="11080" width="1" style="1" customWidth="1"/>
    <col min="11081" max="11081" width="17.85546875" style="1" customWidth="1"/>
    <col min="11082" max="11084" width="1" style="1" customWidth="1"/>
    <col min="11085" max="11085" width="1.85546875" style="1" customWidth="1"/>
    <col min="11086" max="11086" width="11.28515625" style="1" bestFit="1" customWidth="1"/>
    <col min="11087" max="11087" width="10" style="1"/>
    <col min="11088" max="11088" width="10.42578125" style="1" bestFit="1" customWidth="1"/>
    <col min="11089" max="11091" width="10" style="1"/>
    <col min="11092" max="11092" width="13.42578125" style="1" bestFit="1" customWidth="1"/>
    <col min="11093" max="11194" width="10" style="1"/>
    <col min="11195" max="11197" width="0" style="1" hidden="1" customWidth="1"/>
    <col min="11198" max="11198" width="64.85546875" style="1" customWidth="1"/>
    <col min="11199" max="11199" width="7" style="1" customWidth="1"/>
    <col min="11200" max="11201" width="1" style="1" customWidth="1"/>
    <col min="11202" max="11202" width="15.140625" style="1" customWidth="1"/>
    <col min="11203" max="11204" width="1" style="1" customWidth="1"/>
    <col min="11205" max="11249" width="0" style="1" hidden="1" customWidth="1"/>
    <col min="11250" max="11251" width="1" style="1" customWidth="1"/>
    <col min="11252" max="11252" width="17.85546875" style="1" customWidth="1"/>
    <col min="11253" max="11254" width="1" style="1" customWidth="1"/>
    <col min="11255" max="11264" width="0" style="1" hidden="1" customWidth="1"/>
    <col min="11265" max="11266" width="1" style="1" customWidth="1"/>
    <col min="11267" max="11267" width="18.7109375" style="1" bestFit="1" customWidth="1"/>
    <col min="11268" max="11271" width="1" style="1" customWidth="1"/>
    <col min="11272" max="11272" width="16.85546875" style="1" bestFit="1" customWidth="1"/>
    <col min="11273" max="11274" width="1" style="1" customWidth="1"/>
    <col min="11275" max="11319" width="0" style="1" hidden="1" customWidth="1"/>
    <col min="11320" max="11321" width="1" style="1" customWidth="1"/>
    <col min="11322" max="11322" width="17.85546875" style="1" customWidth="1"/>
    <col min="11323" max="11324" width="1" style="1" customWidth="1"/>
    <col min="11325" max="11334" width="0" style="1" hidden="1" customWidth="1"/>
    <col min="11335" max="11336" width="1" style="1" customWidth="1"/>
    <col min="11337" max="11337" width="17.85546875" style="1" customWidth="1"/>
    <col min="11338" max="11340" width="1" style="1" customWidth="1"/>
    <col min="11341" max="11341" width="1.85546875" style="1" customWidth="1"/>
    <col min="11342" max="11342" width="11.28515625" style="1" bestFit="1" customWidth="1"/>
    <col min="11343" max="11343" width="10" style="1"/>
    <col min="11344" max="11344" width="10.42578125" style="1" bestFit="1" customWidth="1"/>
    <col min="11345" max="11347" width="10" style="1"/>
    <col min="11348" max="11348" width="13.42578125" style="1" bestFit="1" customWidth="1"/>
    <col min="11349" max="11450" width="10" style="1"/>
    <col min="11451" max="11453" width="0" style="1" hidden="1" customWidth="1"/>
    <col min="11454" max="11454" width="64.85546875" style="1" customWidth="1"/>
    <col min="11455" max="11455" width="7" style="1" customWidth="1"/>
    <col min="11456" max="11457" width="1" style="1" customWidth="1"/>
    <col min="11458" max="11458" width="15.140625" style="1" customWidth="1"/>
    <col min="11459" max="11460" width="1" style="1" customWidth="1"/>
    <col min="11461" max="11505" width="0" style="1" hidden="1" customWidth="1"/>
    <col min="11506" max="11507" width="1" style="1" customWidth="1"/>
    <col min="11508" max="11508" width="17.85546875" style="1" customWidth="1"/>
    <col min="11509" max="11510" width="1" style="1" customWidth="1"/>
    <col min="11511" max="11520" width="0" style="1" hidden="1" customWidth="1"/>
    <col min="11521" max="11522" width="1" style="1" customWidth="1"/>
    <col min="11523" max="11523" width="18.7109375" style="1" bestFit="1" customWidth="1"/>
    <col min="11524" max="11527" width="1" style="1" customWidth="1"/>
    <col min="11528" max="11528" width="16.85546875" style="1" bestFit="1" customWidth="1"/>
    <col min="11529" max="11530" width="1" style="1" customWidth="1"/>
    <col min="11531" max="11575" width="0" style="1" hidden="1" customWidth="1"/>
    <col min="11576" max="11577" width="1" style="1" customWidth="1"/>
    <col min="11578" max="11578" width="17.85546875" style="1" customWidth="1"/>
    <col min="11579" max="11580" width="1" style="1" customWidth="1"/>
    <col min="11581" max="11590" width="0" style="1" hidden="1" customWidth="1"/>
    <col min="11591" max="11592" width="1" style="1" customWidth="1"/>
    <col min="11593" max="11593" width="17.85546875" style="1" customWidth="1"/>
    <col min="11594" max="11596" width="1" style="1" customWidth="1"/>
    <col min="11597" max="11597" width="1.85546875" style="1" customWidth="1"/>
    <col min="11598" max="11598" width="11.28515625" style="1" bestFit="1" customWidth="1"/>
    <col min="11599" max="11599" width="10" style="1"/>
    <col min="11600" max="11600" width="10.42578125" style="1" bestFit="1" customWidth="1"/>
    <col min="11601" max="11603" width="10" style="1"/>
    <col min="11604" max="11604" width="13.42578125" style="1" bestFit="1" customWidth="1"/>
    <col min="11605" max="11706" width="10" style="1"/>
    <col min="11707" max="11709" width="0" style="1" hidden="1" customWidth="1"/>
    <col min="11710" max="11710" width="64.85546875" style="1" customWidth="1"/>
    <col min="11711" max="11711" width="7" style="1" customWidth="1"/>
    <col min="11712" max="11713" width="1" style="1" customWidth="1"/>
    <col min="11714" max="11714" width="15.140625" style="1" customWidth="1"/>
    <col min="11715" max="11716" width="1" style="1" customWidth="1"/>
    <col min="11717" max="11761" width="0" style="1" hidden="1" customWidth="1"/>
    <col min="11762" max="11763" width="1" style="1" customWidth="1"/>
    <col min="11764" max="11764" width="17.85546875" style="1" customWidth="1"/>
    <col min="11765" max="11766" width="1" style="1" customWidth="1"/>
    <col min="11767" max="11776" width="0" style="1" hidden="1" customWidth="1"/>
    <col min="11777" max="11778" width="1" style="1" customWidth="1"/>
    <col min="11779" max="11779" width="18.7109375" style="1" bestFit="1" customWidth="1"/>
    <col min="11780" max="11783" width="1" style="1" customWidth="1"/>
    <col min="11784" max="11784" width="16.85546875" style="1" bestFit="1" customWidth="1"/>
    <col min="11785" max="11786" width="1" style="1" customWidth="1"/>
    <col min="11787" max="11831" width="0" style="1" hidden="1" customWidth="1"/>
    <col min="11832" max="11833" width="1" style="1" customWidth="1"/>
    <col min="11834" max="11834" width="17.85546875" style="1" customWidth="1"/>
    <col min="11835" max="11836" width="1" style="1" customWidth="1"/>
    <col min="11837" max="11846" width="0" style="1" hidden="1" customWidth="1"/>
    <col min="11847" max="11848" width="1" style="1" customWidth="1"/>
    <col min="11849" max="11849" width="17.85546875" style="1" customWidth="1"/>
    <col min="11850" max="11852" width="1" style="1" customWidth="1"/>
    <col min="11853" max="11853" width="1.85546875" style="1" customWidth="1"/>
    <col min="11854" max="11854" width="11.28515625" style="1" bestFit="1" customWidth="1"/>
    <col min="11855" max="11855" width="10" style="1"/>
    <col min="11856" max="11856" width="10.42578125" style="1" bestFit="1" customWidth="1"/>
    <col min="11857" max="11859" width="10" style="1"/>
    <col min="11860" max="11860" width="13.42578125" style="1" bestFit="1" customWidth="1"/>
    <col min="11861" max="11962" width="10" style="1"/>
    <col min="11963" max="11965" width="0" style="1" hidden="1" customWidth="1"/>
    <col min="11966" max="11966" width="64.85546875" style="1" customWidth="1"/>
    <col min="11967" max="11967" width="7" style="1" customWidth="1"/>
    <col min="11968" max="11969" width="1" style="1" customWidth="1"/>
    <col min="11970" max="11970" width="15.140625" style="1" customWidth="1"/>
    <col min="11971" max="11972" width="1" style="1" customWidth="1"/>
    <col min="11973" max="12017" width="0" style="1" hidden="1" customWidth="1"/>
    <col min="12018" max="12019" width="1" style="1" customWidth="1"/>
    <col min="12020" max="12020" width="17.85546875" style="1" customWidth="1"/>
    <col min="12021" max="12022" width="1" style="1" customWidth="1"/>
    <col min="12023" max="12032" width="0" style="1" hidden="1" customWidth="1"/>
    <col min="12033" max="12034" width="1" style="1" customWidth="1"/>
    <col min="12035" max="12035" width="18.7109375" style="1" bestFit="1" customWidth="1"/>
    <col min="12036" max="12039" width="1" style="1" customWidth="1"/>
    <col min="12040" max="12040" width="16.85546875" style="1" bestFit="1" customWidth="1"/>
    <col min="12041" max="12042" width="1" style="1" customWidth="1"/>
    <col min="12043" max="12087" width="0" style="1" hidden="1" customWidth="1"/>
    <col min="12088" max="12089" width="1" style="1" customWidth="1"/>
    <col min="12090" max="12090" width="17.85546875" style="1" customWidth="1"/>
    <col min="12091" max="12092" width="1" style="1" customWidth="1"/>
    <col min="12093" max="12102" width="0" style="1" hidden="1" customWidth="1"/>
    <col min="12103" max="12104" width="1" style="1" customWidth="1"/>
    <col min="12105" max="12105" width="17.85546875" style="1" customWidth="1"/>
    <col min="12106" max="12108" width="1" style="1" customWidth="1"/>
    <col min="12109" max="12109" width="1.85546875" style="1" customWidth="1"/>
    <col min="12110" max="12110" width="11.28515625" style="1" bestFit="1" customWidth="1"/>
    <col min="12111" max="12111" width="10" style="1"/>
    <col min="12112" max="12112" width="10.42578125" style="1" bestFit="1" customWidth="1"/>
    <col min="12113" max="12115" width="10" style="1"/>
    <col min="12116" max="12116" width="13.42578125" style="1" bestFit="1" customWidth="1"/>
    <col min="12117" max="12218" width="10" style="1"/>
    <col min="12219" max="12221" width="0" style="1" hidden="1" customWidth="1"/>
    <col min="12222" max="12222" width="64.85546875" style="1" customWidth="1"/>
    <col min="12223" max="12223" width="7" style="1" customWidth="1"/>
    <col min="12224" max="12225" width="1" style="1" customWidth="1"/>
    <col min="12226" max="12226" width="15.140625" style="1" customWidth="1"/>
    <col min="12227" max="12228" width="1" style="1" customWidth="1"/>
    <col min="12229" max="12273" width="0" style="1" hidden="1" customWidth="1"/>
    <col min="12274" max="12275" width="1" style="1" customWidth="1"/>
    <col min="12276" max="12276" width="17.85546875" style="1" customWidth="1"/>
    <col min="12277" max="12278" width="1" style="1" customWidth="1"/>
    <col min="12279" max="12288" width="0" style="1" hidden="1" customWidth="1"/>
    <col min="12289" max="12290" width="1" style="1" customWidth="1"/>
    <col min="12291" max="12291" width="18.7109375" style="1" bestFit="1" customWidth="1"/>
    <col min="12292" max="12295" width="1" style="1" customWidth="1"/>
    <col min="12296" max="12296" width="16.85546875" style="1" bestFit="1" customWidth="1"/>
    <col min="12297" max="12298" width="1" style="1" customWidth="1"/>
    <col min="12299" max="12343" width="0" style="1" hidden="1" customWidth="1"/>
    <col min="12344" max="12345" width="1" style="1" customWidth="1"/>
    <col min="12346" max="12346" width="17.85546875" style="1" customWidth="1"/>
    <col min="12347" max="12348" width="1" style="1" customWidth="1"/>
    <col min="12349" max="12358" width="0" style="1" hidden="1" customWidth="1"/>
    <col min="12359" max="12360" width="1" style="1" customWidth="1"/>
    <col min="12361" max="12361" width="17.85546875" style="1" customWidth="1"/>
    <col min="12362" max="12364" width="1" style="1" customWidth="1"/>
    <col min="12365" max="12365" width="1.85546875" style="1" customWidth="1"/>
    <col min="12366" max="12366" width="11.28515625" style="1" bestFit="1" customWidth="1"/>
    <col min="12367" max="12367" width="10" style="1"/>
    <col min="12368" max="12368" width="10.42578125" style="1" bestFit="1" customWidth="1"/>
    <col min="12369" max="12371" width="10" style="1"/>
    <col min="12372" max="12372" width="13.42578125" style="1" bestFit="1" customWidth="1"/>
    <col min="12373" max="12474" width="10" style="1"/>
    <col min="12475" max="12477" width="0" style="1" hidden="1" customWidth="1"/>
    <col min="12478" max="12478" width="64.85546875" style="1" customWidth="1"/>
    <col min="12479" max="12479" width="7" style="1" customWidth="1"/>
    <col min="12480" max="12481" width="1" style="1" customWidth="1"/>
    <col min="12482" max="12482" width="15.140625" style="1" customWidth="1"/>
    <col min="12483" max="12484" width="1" style="1" customWidth="1"/>
    <col min="12485" max="12529" width="0" style="1" hidden="1" customWidth="1"/>
    <col min="12530" max="12531" width="1" style="1" customWidth="1"/>
    <col min="12532" max="12532" width="17.85546875" style="1" customWidth="1"/>
    <col min="12533" max="12534" width="1" style="1" customWidth="1"/>
    <col min="12535" max="12544" width="0" style="1" hidden="1" customWidth="1"/>
    <col min="12545" max="12546" width="1" style="1" customWidth="1"/>
    <col min="12547" max="12547" width="18.7109375" style="1" bestFit="1" customWidth="1"/>
    <col min="12548" max="12551" width="1" style="1" customWidth="1"/>
    <col min="12552" max="12552" width="16.85546875" style="1" bestFit="1" customWidth="1"/>
    <col min="12553" max="12554" width="1" style="1" customWidth="1"/>
    <col min="12555" max="12599" width="0" style="1" hidden="1" customWidth="1"/>
    <col min="12600" max="12601" width="1" style="1" customWidth="1"/>
    <col min="12602" max="12602" width="17.85546875" style="1" customWidth="1"/>
    <col min="12603" max="12604" width="1" style="1" customWidth="1"/>
    <col min="12605" max="12614" width="0" style="1" hidden="1" customWidth="1"/>
    <col min="12615" max="12616" width="1" style="1" customWidth="1"/>
    <col min="12617" max="12617" width="17.85546875" style="1" customWidth="1"/>
    <col min="12618" max="12620" width="1" style="1" customWidth="1"/>
    <col min="12621" max="12621" width="1.85546875" style="1" customWidth="1"/>
    <col min="12622" max="12622" width="11.28515625" style="1" bestFit="1" customWidth="1"/>
    <col min="12623" max="12623" width="10" style="1"/>
    <col min="12624" max="12624" width="10.42578125" style="1" bestFit="1" customWidth="1"/>
    <col min="12625" max="12627" width="10" style="1"/>
    <col min="12628" max="12628" width="13.42578125" style="1" bestFit="1" customWidth="1"/>
    <col min="12629" max="12730" width="10" style="1"/>
    <col min="12731" max="12733" width="0" style="1" hidden="1" customWidth="1"/>
    <col min="12734" max="12734" width="64.85546875" style="1" customWidth="1"/>
    <col min="12735" max="12735" width="7" style="1" customWidth="1"/>
    <col min="12736" max="12737" width="1" style="1" customWidth="1"/>
    <col min="12738" max="12738" width="15.140625" style="1" customWidth="1"/>
    <col min="12739" max="12740" width="1" style="1" customWidth="1"/>
    <col min="12741" max="12785" width="0" style="1" hidden="1" customWidth="1"/>
    <col min="12786" max="12787" width="1" style="1" customWidth="1"/>
    <col min="12788" max="12788" width="17.85546875" style="1" customWidth="1"/>
    <col min="12789" max="12790" width="1" style="1" customWidth="1"/>
    <col min="12791" max="12800" width="0" style="1" hidden="1" customWidth="1"/>
    <col min="12801" max="12802" width="1" style="1" customWidth="1"/>
    <col min="12803" max="12803" width="18.7109375" style="1" bestFit="1" customWidth="1"/>
    <col min="12804" max="12807" width="1" style="1" customWidth="1"/>
    <col min="12808" max="12808" width="16.85546875" style="1" bestFit="1" customWidth="1"/>
    <col min="12809" max="12810" width="1" style="1" customWidth="1"/>
    <col min="12811" max="12855" width="0" style="1" hidden="1" customWidth="1"/>
    <col min="12856" max="12857" width="1" style="1" customWidth="1"/>
    <col min="12858" max="12858" width="17.85546875" style="1" customWidth="1"/>
    <col min="12859" max="12860" width="1" style="1" customWidth="1"/>
    <col min="12861" max="12870" width="0" style="1" hidden="1" customWidth="1"/>
    <col min="12871" max="12872" width="1" style="1" customWidth="1"/>
    <col min="12873" max="12873" width="17.85546875" style="1" customWidth="1"/>
    <col min="12874" max="12876" width="1" style="1" customWidth="1"/>
    <col min="12877" max="12877" width="1.85546875" style="1" customWidth="1"/>
    <col min="12878" max="12878" width="11.28515625" style="1" bestFit="1" customWidth="1"/>
    <col min="12879" max="12879" width="10" style="1"/>
    <col min="12880" max="12880" width="10.42578125" style="1" bestFit="1" customWidth="1"/>
    <col min="12881" max="12883" width="10" style="1"/>
    <col min="12884" max="12884" width="13.42578125" style="1" bestFit="1" customWidth="1"/>
    <col min="12885" max="12986" width="10" style="1"/>
    <col min="12987" max="12989" width="0" style="1" hidden="1" customWidth="1"/>
    <col min="12990" max="12990" width="64.85546875" style="1" customWidth="1"/>
    <col min="12991" max="12991" width="7" style="1" customWidth="1"/>
    <col min="12992" max="12993" width="1" style="1" customWidth="1"/>
    <col min="12994" max="12994" width="15.140625" style="1" customWidth="1"/>
    <col min="12995" max="12996" width="1" style="1" customWidth="1"/>
    <col min="12997" max="13041" width="0" style="1" hidden="1" customWidth="1"/>
    <col min="13042" max="13043" width="1" style="1" customWidth="1"/>
    <col min="13044" max="13044" width="17.85546875" style="1" customWidth="1"/>
    <col min="13045" max="13046" width="1" style="1" customWidth="1"/>
    <col min="13047" max="13056" width="0" style="1" hidden="1" customWidth="1"/>
    <col min="13057" max="13058" width="1" style="1" customWidth="1"/>
    <col min="13059" max="13059" width="18.7109375" style="1" bestFit="1" customWidth="1"/>
    <col min="13060" max="13063" width="1" style="1" customWidth="1"/>
    <col min="13064" max="13064" width="16.85546875" style="1" bestFit="1" customWidth="1"/>
    <col min="13065" max="13066" width="1" style="1" customWidth="1"/>
    <col min="13067" max="13111" width="0" style="1" hidden="1" customWidth="1"/>
    <col min="13112" max="13113" width="1" style="1" customWidth="1"/>
    <col min="13114" max="13114" width="17.85546875" style="1" customWidth="1"/>
    <col min="13115" max="13116" width="1" style="1" customWidth="1"/>
    <col min="13117" max="13126" width="0" style="1" hidden="1" customWidth="1"/>
    <col min="13127" max="13128" width="1" style="1" customWidth="1"/>
    <col min="13129" max="13129" width="17.85546875" style="1" customWidth="1"/>
    <col min="13130" max="13132" width="1" style="1" customWidth="1"/>
    <col min="13133" max="13133" width="1.85546875" style="1" customWidth="1"/>
    <col min="13134" max="13134" width="11.28515625" style="1" bestFit="1" customWidth="1"/>
    <col min="13135" max="13135" width="10" style="1"/>
    <col min="13136" max="13136" width="10.42578125" style="1" bestFit="1" customWidth="1"/>
    <col min="13137" max="13139" width="10" style="1"/>
    <col min="13140" max="13140" width="13.42578125" style="1" bestFit="1" customWidth="1"/>
    <col min="13141" max="13242" width="10" style="1"/>
    <col min="13243" max="13245" width="0" style="1" hidden="1" customWidth="1"/>
    <col min="13246" max="13246" width="64.85546875" style="1" customWidth="1"/>
    <col min="13247" max="13247" width="7" style="1" customWidth="1"/>
    <col min="13248" max="13249" width="1" style="1" customWidth="1"/>
    <col min="13250" max="13250" width="15.140625" style="1" customWidth="1"/>
    <col min="13251" max="13252" width="1" style="1" customWidth="1"/>
    <col min="13253" max="13297" width="0" style="1" hidden="1" customWidth="1"/>
    <col min="13298" max="13299" width="1" style="1" customWidth="1"/>
    <col min="13300" max="13300" width="17.85546875" style="1" customWidth="1"/>
    <col min="13301" max="13302" width="1" style="1" customWidth="1"/>
    <col min="13303" max="13312" width="0" style="1" hidden="1" customWidth="1"/>
    <col min="13313" max="13314" width="1" style="1" customWidth="1"/>
    <col min="13315" max="13315" width="18.7109375" style="1" bestFit="1" customWidth="1"/>
    <col min="13316" max="13319" width="1" style="1" customWidth="1"/>
    <col min="13320" max="13320" width="16.85546875" style="1" bestFit="1" customWidth="1"/>
    <col min="13321" max="13322" width="1" style="1" customWidth="1"/>
    <col min="13323" max="13367" width="0" style="1" hidden="1" customWidth="1"/>
    <col min="13368" max="13369" width="1" style="1" customWidth="1"/>
    <col min="13370" max="13370" width="17.85546875" style="1" customWidth="1"/>
    <col min="13371" max="13372" width="1" style="1" customWidth="1"/>
    <col min="13373" max="13382" width="0" style="1" hidden="1" customWidth="1"/>
    <col min="13383" max="13384" width="1" style="1" customWidth="1"/>
    <col min="13385" max="13385" width="17.85546875" style="1" customWidth="1"/>
    <col min="13386" max="13388" width="1" style="1" customWidth="1"/>
    <col min="13389" max="13389" width="1.85546875" style="1" customWidth="1"/>
    <col min="13390" max="13390" width="11.28515625" style="1" bestFit="1" customWidth="1"/>
    <col min="13391" max="13391" width="10" style="1"/>
    <col min="13392" max="13392" width="10.42578125" style="1" bestFit="1" customWidth="1"/>
    <col min="13393" max="13395" width="10" style="1"/>
    <col min="13396" max="13396" width="13.42578125" style="1" bestFit="1" customWidth="1"/>
    <col min="13397" max="13498" width="10" style="1"/>
    <col min="13499" max="13501" width="0" style="1" hidden="1" customWidth="1"/>
    <col min="13502" max="13502" width="64.85546875" style="1" customWidth="1"/>
    <col min="13503" max="13503" width="7" style="1" customWidth="1"/>
    <col min="13504" max="13505" width="1" style="1" customWidth="1"/>
    <col min="13506" max="13506" width="15.140625" style="1" customWidth="1"/>
    <col min="13507" max="13508" width="1" style="1" customWidth="1"/>
    <col min="13509" max="13553" width="0" style="1" hidden="1" customWidth="1"/>
    <col min="13554" max="13555" width="1" style="1" customWidth="1"/>
    <col min="13556" max="13556" width="17.85546875" style="1" customWidth="1"/>
    <col min="13557" max="13558" width="1" style="1" customWidth="1"/>
    <col min="13559" max="13568" width="0" style="1" hidden="1" customWidth="1"/>
    <col min="13569" max="13570" width="1" style="1" customWidth="1"/>
    <col min="13571" max="13571" width="18.7109375" style="1" bestFit="1" customWidth="1"/>
    <col min="13572" max="13575" width="1" style="1" customWidth="1"/>
    <col min="13576" max="13576" width="16.85546875" style="1" bestFit="1" customWidth="1"/>
    <col min="13577" max="13578" width="1" style="1" customWidth="1"/>
    <col min="13579" max="13623" width="0" style="1" hidden="1" customWidth="1"/>
    <col min="13624" max="13625" width="1" style="1" customWidth="1"/>
    <col min="13626" max="13626" width="17.85546875" style="1" customWidth="1"/>
    <col min="13627" max="13628" width="1" style="1" customWidth="1"/>
    <col min="13629" max="13638" width="0" style="1" hidden="1" customWidth="1"/>
    <col min="13639" max="13640" width="1" style="1" customWidth="1"/>
    <col min="13641" max="13641" width="17.85546875" style="1" customWidth="1"/>
    <col min="13642" max="13644" width="1" style="1" customWidth="1"/>
    <col min="13645" max="13645" width="1.85546875" style="1" customWidth="1"/>
    <col min="13646" max="13646" width="11.28515625" style="1" bestFit="1" customWidth="1"/>
    <col min="13647" max="13647" width="10" style="1"/>
    <col min="13648" max="13648" width="10.42578125" style="1" bestFit="1" customWidth="1"/>
    <col min="13649" max="13651" width="10" style="1"/>
    <col min="13652" max="13652" width="13.42578125" style="1" bestFit="1" customWidth="1"/>
    <col min="13653" max="13754" width="10" style="1"/>
    <col min="13755" max="13757" width="0" style="1" hidden="1" customWidth="1"/>
    <col min="13758" max="13758" width="64.85546875" style="1" customWidth="1"/>
    <col min="13759" max="13759" width="7" style="1" customWidth="1"/>
    <col min="13760" max="13761" width="1" style="1" customWidth="1"/>
    <col min="13762" max="13762" width="15.140625" style="1" customWidth="1"/>
    <col min="13763" max="13764" width="1" style="1" customWidth="1"/>
    <col min="13765" max="13809" width="0" style="1" hidden="1" customWidth="1"/>
    <col min="13810" max="13811" width="1" style="1" customWidth="1"/>
    <col min="13812" max="13812" width="17.85546875" style="1" customWidth="1"/>
    <col min="13813" max="13814" width="1" style="1" customWidth="1"/>
    <col min="13815" max="13824" width="0" style="1" hidden="1" customWidth="1"/>
    <col min="13825" max="13826" width="1" style="1" customWidth="1"/>
    <col min="13827" max="13827" width="18.7109375" style="1" bestFit="1" customWidth="1"/>
    <col min="13828" max="13831" width="1" style="1" customWidth="1"/>
    <col min="13832" max="13832" width="16.85546875" style="1" bestFit="1" customWidth="1"/>
    <col min="13833" max="13834" width="1" style="1" customWidth="1"/>
    <col min="13835" max="13879" width="0" style="1" hidden="1" customWidth="1"/>
    <col min="13880" max="13881" width="1" style="1" customWidth="1"/>
    <col min="13882" max="13882" width="17.85546875" style="1" customWidth="1"/>
    <col min="13883" max="13884" width="1" style="1" customWidth="1"/>
    <col min="13885" max="13894" width="0" style="1" hidden="1" customWidth="1"/>
    <col min="13895" max="13896" width="1" style="1" customWidth="1"/>
    <col min="13897" max="13897" width="17.85546875" style="1" customWidth="1"/>
    <col min="13898" max="13900" width="1" style="1" customWidth="1"/>
    <col min="13901" max="13901" width="1.85546875" style="1" customWidth="1"/>
    <col min="13902" max="13902" width="11.28515625" style="1" bestFit="1" customWidth="1"/>
    <col min="13903" max="13903" width="10" style="1"/>
    <col min="13904" max="13904" width="10.42578125" style="1" bestFit="1" customWidth="1"/>
    <col min="13905" max="13907" width="10" style="1"/>
    <col min="13908" max="13908" width="13.42578125" style="1" bestFit="1" customWidth="1"/>
    <col min="13909" max="14010" width="10" style="1"/>
    <col min="14011" max="14013" width="0" style="1" hidden="1" customWidth="1"/>
    <col min="14014" max="14014" width="64.85546875" style="1" customWidth="1"/>
    <col min="14015" max="14015" width="7" style="1" customWidth="1"/>
    <col min="14016" max="14017" width="1" style="1" customWidth="1"/>
    <col min="14018" max="14018" width="15.140625" style="1" customWidth="1"/>
    <col min="14019" max="14020" width="1" style="1" customWidth="1"/>
    <col min="14021" max="14065" width="0" style="1" hidden="1" customWidth="1"/>
    <col min="14066" max="14067" width="1" style="1" customWidth="1"/>
    <col min="14068" max="14068" width="17.85546875" style="1" customWidth="1"/>
    <col min="14069" max="14070" width="1" style="1" customWidth="1"/>
    <col min="14071" max="14080" width="0" style="1" hidden="1" customWidth="1"/>
    <col min="14081" max="14082" width="1" style="1" customWidth="1"/>
    <col min="14083" max="14083" width="18.7109375" style="1" bestFit="1" customWidth="1"/>
    <col min="14084" max="14087" width="1" style="1" customWidth="1"/>
    <col min="14088" max="14088" width="16.85546875" style="1" bestFit="1" customWidth="1"/>
    <col min="14089" max="14090" width="1" style="1" customWidth="1"/>
    <col min="14091" max="14135" width="0" style="1" hidden="1" customWidth="1"/>
    <col min="14136" max="14137" width="1" style="1" customWidth="1"/>
    <col min="14138" max="14138" width="17.85546875" style="1" customWidth="1"/>
    <col min="14139" max="14140" width="1" style="1" customWidth="1"/>
    <col min="14141" max="14150" width="0" style="1" hidden="1" customWidth="1"/>
    <col min="14151" max="14152" width="1" style="1" customWidth="1"/>
    <col min="14153" max="14153" width="17.85546875" style="1" customWidth="1"/>
    <col min="14154" max="14156" width="1" style="1" customWidth="1"/>
    <col min="14157" max="14157" width="1.85546875" style="1" customWidth="1"/>
    <col min="14158" max="14158" width="11.28515625" style="1" bestFit="1" customWidth="1"/>
    <col min="14159" max="14159" width="10" style="1"/>
    <col min="14160" max="14160" width="10.42578125" style="1" bestFit="1" customWidth="1"/>
    <col min="14161" max="14163" width="10" style="1"/>
    <col min="14164" max="14164" width="13.42578125" style="1" bestFit="1" customWidth="1"/>
    <col min="14165" max="14266" width="10" style="1"/>
    <col min="14267" max="14269" width="0" style="1" hidden="1" customWidth="1"/>
    <col min="14270" max="14270" width="64.85546875" style="1" customWidth="1"/>
    <col min="14271" max="14271" width="7" style="1" customWidth="1"/>
    <col min="14272" max="14273" width="1" style="1" customWidth="1"/>
    <col min="14274" max="14274" width="15.140625" style="1" customWidth="1"/>
    <col min="14275" max="14276" width="1" style="1" customWidth="1"/>
    <col min="14277" max="14321" width="0" style="1" hidden="1" customWidth="1"/>
    <col min="14322" max="14323" width="1" style="1" customWidth="1"/>
    <col min="14324" max="14324" width="17.85546875" style="1" customWidth="1"/>
    <col min="14325" max="14326" width="1" style="1" customWidth="1"/>
    <col min="14327" max="14336" width="0" style="1" hidden="1" customWidth="1"/>
    <col min="14337" max="14338" width="1" style="1" customWidth="1"/>
    <col min="14339" max="14339" width="18.7109375" style="1" bestFit="1" customWidth="1"/>
    <col min="14340" max="14343" width="1" style="1" customWidth="1"/>
    <col min="14344" max="14344" width="16.85546875" style="1" bestFit="1" customWidth="1"/>
    <col min="14345" max="14346" width="1" style="1" customWidth="1"/>
    <col min="14347" max="14391" width="0" style="1" hidden="1" customWidth="1"/>
    <col min="14392" max="14393" width="1" style="1" customWidth="1"/>
    <col min="14394" max="14394" width="17.85546875" style="1" customWidth="1"/>
    <col min="14395" max="14396" width="1" style="1" customWidth="1"/>
    <col min="14397" max="14406" width="0" style="1" hidden="1" customWidth="1"/>
    <col min="14407" max="14408" width="1" style="1" customWidth="1"/>
    <col min="14409" max="14409" width="17.85546875" style="1" customWidth="1"/>
    <col min="14410" max="14412" width="1" style="1" customWidth="1"/>
    <col min="14413" max="14413" width="1.85546875" style="1" customWidth="1"/>
    <col min="14414" max="14414" width="11.28515625" style="1" bestFit="1" customWidth="1"/>
    <col min="14415" max="14415" width="10" style="1"/>
    <col min="14416" max="14416" width="10.42578125" style="1" bestFit="1" customWidth="1"/>
    <col min="14417" max="14419" width="10" style="1"/>
    <col min="14420" max="14420" width="13.42578125" style="1" bestFit="1" customWidth="1"/>
    <col min="14421" max="14522" width="10" style="1"/>
    <col min="14523" max="14525" width="0" style="1" hidden="1" customWidth="1"/>
    <col min="14526" max="14526" width="64.85546875" style="1" customWidth="1"/>
    <col min="14527" max="14527" width="7" style="1" customWidth="1"/>
    <col min="14528" max="14529" width="1" style="1" customWidth="1"/>
    <col min="14530" max="14530" width="15.140625" style="1" customWidth="1"/>
    <col min="14531" max="14532" width="1" style="1" customWidth="1"/>
    <col min="14533" max="14577" width="0" style="1" hidden="1" customWidth="1"/>
    <col min="14578" max="14579" width="1" style="1" customWidth="1"/>
    <col min="14580" max="14580" width="17.85546875" style="1" customWidth="1"/>
    <col min="14581" max="14582" width="1" style="1" customWidth="1"/>
    <col min="14583" max="14592" width="0" style="1" hidden="1" customWidth="1"/>
    <col min="14593" max="14594" width="1" style="1" customWidth="1"/>
    <col min="14595" max="14595" width="18.7109375" style="1" bestFit="1" customWidth="1"/>
    <col min="14596" max="14599" width="1" style="1" customWidth="1"/>
    <col min="14600" max="14600" width="16.85546875" style="1" bestFit="1" customWidth="1"/>
    <col min="14601" max="14602" width="1" style="1" customWidth="1"/>
    <col min="14603" max="14647" width="0" style="1" hidden="1" customWidth="1"/>
    <col min="14648" max="14649" width="1" style="1" customWidth="1"/>
    <col min="14650" max="14650" width="17.85546875" style="1" customWidth="1"/>
    <col min="14651" max="14652" width="1" style="1" customWidth="1"/>
    <col min="14653" max="14662" width="0" style="1" hidden="1" customWidth="1"/>
    <col min="14663" max="14664" width="1" style="1" customWidth="1"/>
    <col min="14665" max="14665" width="17.85546875" style="1" customWidth="1"/>
    <col min="14666" max="14668" width="1" style="1" customWidth="1"/>
    <col min="14669" max="14669" width="1.85546875" style="1" customWidth="1"/>
    <col min="14670" max="14670" width="11.28515625" style="1" bestFit="1" customWidth="1"/>
    <col min="14671" max="14671" width="10" style="1"/>
    <col min="14672" max="14672" width="10.42578125" style="1" bestFit="1" customWidth="1"/>
    <col min="14673" max="14675" width="10" style="1"/>
    <col min="14676" max="14676" width="13.42578125" style="1" bestFit="1" customWidth="1"/>
    <col min="14677" max="14778" width="10" style="1"/>
    <col min="14779" max="14781" width="0" style="1" hidden="1" customWidth="1"/>
    <col min="14782" max="14782" width="64.85546875" style="1" customWidth="1"/>
    <col min="14783" max="14783" width="7" style="1" customWidth="1"/>
    <col min="14784" max="14785" width="1" style="1" customWidth="1"/>
    <col min="14786" max="14786" width="15.140625" style="1" customWidth="1"/>
    <col min="14787" max="14788" width="1" style="1" customWidth="1"/>
    <col min="14789" max="14833" width="0" style="1" hidden="1" customWidth="1"/>
    <col min="14834" max="14835" width="1" style="1" customWidth="1"/>
    <col min="14836" max="14836" width="17.85546875" style="1" customWidth="1"/>
    <col min="14837" max="14838" width="1" style="1" customWidth="1"/>
    <col min="14839" max="14848" width="0" style="1" hidden="1" customWidth="1"/>
    <col min="14849" max="14850" width="1" style="1" customWidth="1"/>
    <col min="14851" max="14851" width="18.7109375" style="1" bestFit="1" customWidth="1"/>
    <col min="14852" max="14855" width="1" style="1" customWidth="1"/>
    <col min="14856" max="14856" width="16.85546875" style="1" bestFit="1" customWidth="1"/>
    <col min="14857" max="14858" width="1" style="1" customWidth="1"/>
    <col min="14859" max="14903" width="0" style="1" hidden="1" customWidth="1"/>
    <col min="14904" max="14905" width="1" style="1" customWidth="1"/>
    <col min="14906" max="14906" width="17.85546875" style="1" customWidth="1"/>
    <col min="14907" max="14908" width="1" style="1" customWidth="1"/>
    <col min="14909" max="14918" width="0" style="1" hidden="1" customWidth="1"/>
    <col min="14919" max="14920" width="1" style="1" customWidth="1"/>
    <col min="14921" max="14921" width="17.85546875" style="1" customWidth="1"/>
    <col min="14922" max="14924" width="1" style="1" customWidth="1"/>
    <col min="14925" max="14925" width="1.85546875" style="1" customWidth="1"/>
    <col min="14926" max="14926" width="11.28515625" style="1" bestFit="1" customWidth="1"/>
    <col min="14927" max="14927" width="10" style="1"/>
    <col min="14928" max="14928" width="10.42578125" style="1" bestFit="1" customWidth="1"/>
    <col min="14929" max="14931" width="10" style="1"/>
    <col min="14932" max="14932" width="13.42578125" style="1" bestFit="1" customWidth="1"/>
    <col min="14933" max="15034" width="10" style="1"/>
    <col min="15035" max="15037" width="0" style="1" hidden="1" customWidth="1"/>
    <col min="15038" max="15038" width="64.85546875" style="1" customWidth="1"/>
    <col min="15039" max="15039" width="7" style="1" customWidth="1"/>
    <col min="15040" max="15041" width="1" style="1" customWidth="1"/>
    <col min="15042" max="15042" width="15.140625" style="1" customWidth="1"/>
    <col min="15043" max="15044" width="1" style="1" customWidth="1"/>
    <col min="15045" max="15089" width="0" style="1" hidden="1" customWidth="1"/>
    <col min="15090" max="15091" width="1" style="1" customWidth="1"/>
    <col min="15092" max="15092" width="17.85546875" style="1" customWidth="1"/>
    <col min="15093" max="15094" width="1" style="1" customWidth="1"/>
    <col min="15095" max="15104" width="0" style="1" hidden="1" customWidth="1"/>
    <col min="15105" max="15106" width="1" style="1" customWidth="1"/>
    <col min="15107" max="15107" width="18.7109375" style="1" bestFit="1" customWidth="1"/>
    <col min="15108" max="15111" width="1" style="1" customWidth="1"/>
    <col min="15112" max="15112" width="16.85546875" style="1" bestFit="1" customWidth="1"/>
    <col min="15113" max="15114" width="1" style="1" customWidth="1"/>
    <col min="15115" max="15159" width="0" style="1" hidden="1" customWidth="1"/>
    <col min="15160" max="15161" width="1" style="1" customWidth="1"/>
    <col min="15162" max="15162" width="17.85546875" style="1" customWidth="1"/>
    <col min="15163" max="15164" width="1" style="1" customWidth="1"/>
    <col min="15165" max="15174" width="0" style="1" hidden="1" customWidth="1"/>
    <col min="15175" max="15176" width="1" style="1" customWidth="1"/>
    <col min="15177" max="15177" width="17.85546875" style="1" customWidth="1"/>
    <col min="15178" max="15180" width="1" style="1" customWidth="1"/>
    <col min="15181" max="15181" width="1.85546875" style="1" customWidth="1"/>
    <col min="15182" max="15182" width="11.28515625" style="1" bestFit="1" customWidth="1"/>
    <col min="15183" max="15183" width="10" style="1"/>
    <col min="15184" max="15184" width="10.42578125" style="1" bestFit="1" customWidth="1"/>
    <col min="15185" max="15187" width="10" style="1"/>
    <col min="15188" max="15188" width="13.42578125" style="1" bestFit="1" customWidth="1"/>
    <col min="15189" max="15290" width="10" style="1"/>
    <col min="15291" max="15293" width="0" style="1" hidden="1" customWidth="1"/>
    <col min="15294" max="15294" width="64.85546875" style="1" customWidth="1"/>
    <col min="15295" max="15295" width="7" style="1" customWidth="1"/>
    <col min="15296" max="15297" width="1" style="1" customWidth="1"/>
    <col min="15298" max="15298" width="15.140625" style="1" customWidth="1"/>
    <col min="15299" max="15300" width="1" style="1" customWidth="1"/>
    <col min="15301" max="15345" width="0" style="1" hidden="1" customWidth="1"/>
    <col min="15346" max="15347" width="1" style="1" customWidth="1"/>
    <col min="15348" max="15348" width="17.85546875" style="1" customWidth="1"/>
    <col min="15349" max="15350" width="1" style="1" customWidth="1"/>
    <col min="15351" max="15360" width="0" style="1" hidden="1" customWidth="1"/>
    <col min="15361" max="15362" width="1" style="1" customWidth="1"/>
    <col min="15363" max="15363" width="18.7109375" style="1" bestFit="1" customWidth="1"/>
    <col min="15364" max="15367" width="1" style="1" customWidth="1"/>
    <col min="15368" max="15368" width="16.85546875" style="1" bestFit="1" customWidth="1"/>
    <col min="15369" max="15370" width="1" style="1" customWidth="1"/>
    <col min="15371" max="15415" width="0" style="1" hidden="1" customWidth="1"/>
    <col min="15416" max="15417" width="1" style="1" customWidth="1"/>
    <col min="15418" max="15418" width="17.85546875" style="1" customWidth="1"/>
    <col min="15419" max="15420" width="1" style="1" customWidth="1"/>
    <col min="15421" max="15430" width="0" style="1" hidden="1" customWidth="1"/>
    <col min="15431" max="15432" width="1" style="1" customWidth="1"/>
    <col min="15433" max="15433" width="17.85546875" style="1" customWidth="1"/>
    <col min="15434" max="15436" width="1" style="1" customWidth="1"/>
    <col min="15437" max="15437" width="1.85546875" style="1" customWidth="1"/>
    <col min="15438" max="15438" width="11.28515625" style="1" bestFit="1" customWidth="1"/>
    <col min="15439" max="15439" width="10" style="1"/>
    <col min="15440" max="15440" width="10.42578125" style="1" bestFit="1" customWidth="1"/>
    <col min="15441" max="15443" width="10" style="1"/>
    <col min="15444" max="15444" width="13.42578125" style="1" bestFit="1" customWidth="1"/>
    <col min="15445" max="15546" width="10" style="1"/>
    <col min="15547" max="15549" width="0" style="1" hidden="1" customWidth="1"/>
    <col min="15550" max="15550" width="64.85546875" style="1" customWidth="1"/>
    <col min="15551" max="15551" width="7" style="1" customWidth="1"/>
    <col min="15552" max="15553" width="1" style="1" customWidth="1"/>
    <col min="15554" max="15554" width="15.140625" style="1" customWidth="1"/>
    <col min="15555" max="15556" width="1" style="1" customWidth="1"/>
    <col min="15557" max="15601" width="0" style="1" hidden="1" customWidth="1"/>
    <col min="15602" max="15603" width="1" style="1" customWidth="1"/>
    <col min="15604" max="15604" width="17.85546875" style="1" customWidth="1"/>
    <col min="15605" max="15606" width="1" style="1" customWidth="1"/>
    <col min="15607" max="15616" width="0" style="1" hidden="1" customWidth="1"/>
    <col min="15617" max="15618" width="1" style="1" customWidth="1"/>
    <col min="15619" max="15619" width="18.7109375" style="1" bestFit="1" customWidth="1"/>
    <col min="15620" max="15623" width="1" style="1" customWidth="1"/>
    <col min="15624" max="15624" width="16.85546875" style="1" bestFit="1" customWidth="1"/>
    <col min="15625" max="15626" width="1" style="1" customWidth="1"/>
    <col min="15627" max="15671" width="0" style="1" hidden="1" customWidth="1"/>
    <col min="15672" max="15673" width="1" style="1" customWidth="1"/>
    <col min="15674" max="15674" width="17.85546875" style="1" customWidth="1"/>
    <col min="15675" max="15676" width="1" style="1" customWidth="1"/>
    <col min="15677" max="15686" width="0" style="1" hidden="1" customWidth="1"/>
    <col min="15687" max="15688" width="1" style="1" customWidth="1"/>
    <col min="15689" max="15689" width="17.85546875" style="1" customWidth="1"/>
    <col min="15690" max="15692" width="1" style="1" customWidth="1"/>
    <col min="15693" max="15693" width="1.85546875" style="1" customWidth="1"/>
    <col min="15694" max="15694" width="11.28515625" style="1" bestFit="1" customWidth="1"/>
    <col min="15695" max="15695" width="10" style="1"/>
    <col min="15696" max="15696" width="10.42578125" style="1" bestFit="1" customWidth="1"/>
    <col min="15697" max="15699" width="10" style="1"/>
    <col min="15700" max="15700" width="13.42578125" style="1" bestFit="1" customWidth="1"/>
    <col min="15701" max="15802" width="10" style="1"/>
    <col min="15803" max="15805" width="0" style="1" hidden="1" customWidth="1"/>
    <col min="15806" max="15806" width="64.85546875" style="1" customWidth="1"/>
    <col min="15807" max="15807" width="7" style="1" customWidth="1"/>
    <col min="15808" max="15809" width="1" style="1" customWidth="1"/>
    <col min="15810" max="15810" width="15.140625" style="1" customWidth="1"/>
    <col min="15811" max="15812" width="1" style="1" customWidth="1"/>
    <col min="15813" max="15857" width="0" style="1" hidden="1" customWidth="1"/>
    <col min="15858" max="15859" width="1" style="1" customWidth="1"/>
    <col min="15860" max="15860" width="17.85546875" style="1" customWidth="1"/>
    <col min="15861" max="15862" width="1" style="1" customWidth="1"/>
    <col min="15863" max="15872" width="0" style="1" hidden="1" customWidth="1"/>
    <col min="15873" max="15874" width="1" style="1" customWidth="1"/>
    <col min="15875" max="15875" width="18.7109375" style="1" bestFit="1" customWidth="1"/>
    <col min="15876" max="15879" width="1" style="1" customWidth="1"/>
    <col min="15880" max="15880" width="16.85546875" style="1" bestFit="1" customWidth="1"/>
    <col min="15881" max="15882" width="1" style="1" customWidth="1"/>
    <col min="15883" max="15927" width="0" style="1" hidden="1" customWidth="1"/>
    <col min="15928" max="15929" width="1" style="1" customWidth="1"/>
    <col min="15930" max="15930" width="17.85546875" style="1" customWidth="1"/>
    <col min="15931" max="15932" width="1" style="1" customWidth="1"/>
    <col min="15933" max="15942" width="0" style="1" hidden="1" customWidth="1"/>
    <col min="15943" max="15944" width="1" style="1" customWidth="1"/>
    <col min="15945" max="15945" width="17.85546875" style="1" customWidth="1"/>
    <col min="15946" max="15948" width="1" style="1" customWidth="1"/>
    <col min="15949" max="15949" width="1.85546875" style="1" customWidth="1"/>
    <col min="15950" max="15950" width="11.28515625" style="1" bestFit="1" customWidth="1"/>
    <col min="15951" max="15951" width="10" style="1"/>
    <col min="15952" max="15952" width="10.42578125" style="1" bestFit="1" customWidth="1"/>
    <col min="15953" max="15955" width="10" style="1"/>
    <col min="15956" max="15956" width="13.42578125" style="1" bestFit="1" customWidth="1"/>
    <col min="15957" max="16058" width="10" style="1"/>
    <col min="16059" max="16061" width="0" style="1" hidden="1" customWidth="1"/>
    <col min="16062" max="16062" width="64.85546875" style="1" customWidth="1"/>
    <col min="16063" max="16063" width="7" style="1" customWidth="1"/>
    <col min="16064" max="16065" width="1" style="1" customWidth="1"/>
    <col min="16066" max="16066" width="15.140625" style="1" customWidth="1"/>
    <col min="16067" max="16068" width="1" style="1" customWidth="1"/>
    <col min="16069" max="16113" width="0" style="1" hidden="1" customWidth="1"/>
    <col min="16114" max="16115" width="1" style="1" customWidth="1"/>
    <col min="16116" max="16116" width="17.85546875" style="1" customWidth="1"/>
    <col min="16117" max="16118" width="1" style="1" customWidth="1"/>
    <col min="16119" max="16128" width="0" style="1" hidden="1" customWidth="1"/>
    <col min="16129" max="16130" width="1" style="1" customWidth="1"/>
    <col min="16131" max="16131" width="18.7109375" style="1" bestFit="1" customWidth="1"/>
    <col min="16132" max="16135" width="1" style="1" customWidth="1"/>
    <col min="16136" max="16136" width="16.85546875" style="1" bestFit="1" customWidth="1"/>
    <col min="16137" max="16138" width="1" style="1" customWidth="1"/>
    <col min="16139" max="16183" width="0" style="1" hidden="1" customWidth="1"/>
    <col min="16184" max="16185" width="1" style="1" customWidth="1"/>
    <col min="16186" max="16186" width="17.85546875" style="1" customWidth="1"/>
    <col min="16187" max="16188" width="1" style="1" customWidth="1"/>
    <col min="16189" max="16198" width="0" style="1" hidden="1" customWidth="1"/>
    <col min="16199" max="16200" width="1" style="1" customWidth="1"/>
    <col min="16201" max="16201" width="17.85546875" style="1" customWidth="1"/>
    <col min="16202" max="16204" width="1" style="1" customWidth="1"/>
    <col min="16205" max="16205" width="1.85546875" style="1" customWidth="1"/>
    <col min="16206" max="16206" width="11.28515625" style="1" bestFit="1" customWidth="1"/>
    <col min="16207" max="16207" width="10" style="1"/>
    <col min="16208" max="16208" width="10.42578125" style="1" bestFit="1" customWidth="1"/>
    <col min="16209" max="16211" width="10" style="1"/>
    <col min="16212" max="16212" width="13.42578125" style="1" bestFit="1" customWidth="1"/>
    <col min="16213" max="16384" width="10" style="1"/>
  </cols>
  <sheetData>
    <row r="2" spans="4:78" ht="3" customHeight="1" x14ac:dyDescent="0.2"/>
    <row r="4" spans="4:78" x14ac:dyDescent="0.2">
      <c r="D4" s="10"/>
      <c r="E4" s="115"/>
      <c r="F4" s="10"/>
      <c r="G4" s="10"/>
    </row>
    <row r="5" spans="4:78" x14ac:dyDescent="0.2">
      <c r="E5" s="115"/>
      <c r="F5" s="10"/>
      <c r="G5" s="10"/>
    </row>
    <row r="7" spans="4:78" ht="15.75" customHeight="1" x14ac:dyDescent="0.25">
      <c r="D7" s="348" t="s">
        <v>487</v>
      </c>
      <c r="E7" s="115"/>
      <c r="F7" s="10"/>
      <c r="G7" s="10"/>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row>
    <row r="8" spans="4:78" ht="12.75" customHeight="1" x14ac:dyDescent="0.2">
      <c r="D8" s="133"/>
      <c r="E8" s="414"/>
      <c r="F8" s="415"/>
      <c r="G8" s="134"/>
      <c r="H8" s="633" t="str">
        <f>[54]summary!H8</f>
        <v>2020/21</v>
      </c>
      <c r="I8" s="634"/>
      <c r="J8" s="634"/>
      <c r="K8" s="634"/>
      <c r="L8" s="634"/>
      <c r="M8" s="634"/>
      <c r="N8" s="634"/>
      <c r="O8" s="634"/>
      <c r="P8" s="634"/>
      <c r="Q8" s="634"/>
      <c r="R8" s="634"/>
      <c r="S8" s="634"/>
      <c r="T8" s="634"/>
      <c r="U8" s="634"/>
      <c r="V8" s="634"/>
      <c r="W8" s="634"/>
      <c r="X8" s="634"/>
      <c r="Y8" s="634"/>
      <c r="Z8" s="634"/>
      <c r="AA8" s="634"/>
      <c r="AB8" s="634"/>
      <c r="AC8" s="634"/>
      <c r="AD8" s="634"/>
      <c r="AE8" s="634"/>
      <c r="AF8" s="634"/>
      <c r="AG8" s="634"/>
      <c r="AH8" s="634"/>
      <c r="AI8" s="634"/>
      <c r="AJ8" s="634"/>
      <c r="AK8" s="634"/>
      <c r="AL8" s="634"/>
      <c r="AM8" s="634"/>
      <c r="AN8" s="634"/>
      <c r="AO8" s="634"/>
      <c r="AP8" s="634"/>
      <c r="AQ8" s="634"/>
      <c r="AR8" s="634"/>
      <c r="AS8" s="634"/>
      <c r="AT8" s="634"/>
      <c r="AU8" s="634"/>
      <c r="AV8" s="634"/>
      <c r="AW8" s="634"/>
      <c r="AX8" s="634"/>
      <c r="AY8" s="634"/>
      <c r="AZ8" s="634"/>
      <c r="BA8" s="634"/>
      <c r="BB8" s="634"/>
      <c r="BC8" s="634"/>
      <c r="BD8" s="634"/>
      <c r="BE8" s="634"/>
      <c r="BF8" s="634"/>
      <c r="BG8" s="634"/>
      <c r="BH8" s="634"/>
      <c r="BI8" s="634"/>
      <c r="BJ8" s="634"/>
      <c r="BK8" s="634"/>
      <c r="BL8" s="634"/>
      <c r="BM8" s="634"/>
      <c r="BN8" s="634"/>
      <c r="BO8" s="634"/>
      <c r="BP8" s="634"/>
      <c r="BQ8" s="634"/>
      <c r="BR8" s="634"/>
      <c r="BS8" s="634"/>
      <c r="BT8" s="634"/>
      <c r="BU8" s="634"/>
      <c r="BV8" s="416"/>
      <c r="BW8" s="416"/>
      <c r="BX8" s="388"/>
    </row>
    <row r="9" spans="4:78" ht="12.75" customHeight="1" x14ac:dyDescent="0.2">
      <c r="D9" s="79"/>
      <c r="E9" s="115"/>
      <c r="F9" s="341"/>
      <c r="G9" s="85"/>
      <c r="H9" s="35" t="str">
        <f>[54]foreigndebt!G9</f>
        <v>Revised</v>
      </c>
      <c r="I9" s="35"/>
      <c r="J9" s="35"/>
      <c r="K9" s="339"/>
      <c r="L9" s="35"/>
      <c r="M9" s="35" t="s">
        <v>4</v>
      </c>
      <c r="N9" s="35"/>
      <c r="O9" s="35"/>
      <c r="P9" s="36"/>
      <c r="Q9" s="35"/>
      <c r="R9" s="35" t="s">
        <v>5</v>
      </c>
      <c r="S9" s="35"/>
      <c r="T9" s="35"/>
      <c r="U9" s="36"/>
      <c r="V9" s="35"/>
      <c r="W9" s="35" t="s">
        <v>6</v>
      </c>
      <c r="X9" s="35"/>
      <c r="Y9" s="35"/>
      <c r="Z9" s="36"/>
      <c r="AA9" s="35"/>
      <c r="AB9" s="35" t="s">
        <v>7</v>
      </c>
      <c r="AC9" s="35"/>
      <c r="AD9" s="35"/>
      <c r="AE9" s="36"/>
      <c r="AF9" s="35"/>
      <c r="AG9" s="35" t="s">
        <v>8</v>
      </c>
      <c r="AH9" s="35"/>
      <c r="AI9" s="35"/>
      <c r="AJ9" s="36"/>
      <c r="AK9" s="35"/>
      <c r="AL9" s="35" t="s">
        <v>9</v>
      </c>
      <c r="AM9" s="35"/>
      <c r="AN9" s="35"/>
      <c r="AO9" s="36"/>
      <c r="AP9" s="35"/>
      <c r="AQ9" s="35" t="s">
        <v>10</v>
      </c>
      <c r="AR9" s="35"/>
      <c r="AS9" s="35"/>
      <c r="AT9" s="36"/>
      <c r="AU9" s="35"/>
      <c r="AV9" s="35" t="s">
        <v>11</v>
      </c>
      <c r="AW9" s="35"/>
      <c r="AX9" s="35"/>
      <c r="AY9" s="36"/>
      <c r="AZ9" s="35"/>
      <c r="BA9" s="35" t="s">
        <v>12</v>
      </c>
      <c r="BB9" s="35"/>
      <c r="BC9" s="35"/>
      <c r="BD9" s="36"/>
      <c r="BE9" s="35"/>
      <c r="BF9" s="35" t="s">
        <v>13</v>
      </c>
      <c r="BG9" s="35"/>
      <c r="BH9" s="35"/>
      <c r="BI9" s="36"/>
      <c r="BJ9" s="35"/>
      <c r="BK9" s="35" t="s">
        <v>14</v>
      </c>
      <c r="BL9" s="35"/>
      <c r="BM9" s="35"/>
      <c r="BN9" s="36"/>
      <c r="BO9" s="35"/>
      <c r="BP9" s="35" t="s">
        <v>15</v>
      </c>
      <c r="BQ9" s="35"/>
      <c r="BR9" s="35"/>
      <c r="BS9" s="36"/>
      <c r="BT9" s="35"/>
      <c r="BU9" s="35" t="s">
        <v>16</v>
      </c>
      <c r="BV9" s="35"/>
      <c r="BW9" s="35"/>
      <c r="BX9" s="18"/>
    </row>
    <row r="10" spans="4:78" ht="12.75" customHeight="1" x14ac:dyDescent="0.2">
      <c r="D10" s="300" t="s">
        <v>17</v>
      </c>
      <c r="E10" s="417"/>
      <c r="F10" s="355"/>
      <c r="G10" s="158"/>
      <c r="H10" s="89" t="s">
        <v>18</v>
      </c>
      <c r="I10" s="89"/>
      <c r="J10" s="22"/>
      <c r="K10" s="302"/>
      <c r="L10" s="89"/>
      <c r="M10" s="301"/>
      <c r="N10" s="301"/>
      <c r="O10" s="301"/>
      <c r="P10" s="355"/>
      <c r="Q10" s="301"/>
      <c r="R10" s="301"/>
      <c r="S10" s="301"/>
      <c r="T10" s="301"/>
      <c r="U10" s="355"/>
      <c r="V10" s="301"/>
      <c r="W10" s="301"/>
      <c r="X10" s="301"/>
      <c r="Y10" s="301"/>
      <c r="Z10" s="355"/>
      <c r="AA10" s="301"/>
      <c r="AB10" s="301"/>
      <c r="AC10" s="301"/>
      <c r="AD10" s="301"/>
      <c r="AE10" s="355"/>
      <c r="AF10" s="301"/>
      <c r="AG10" s="301"/>
      <c r="AH10" s="301"/>
      <c r="AI10" s="301"/>
      <c r="AJ10" s="355"/>
      <c r="AK10" s="301"/>
      <c r="AL10" s="301"/>
      <c r="AM10" s="301"/>
      <c r="AN10" s="301"/>
      <c r="AO10" s="355"/>
      <c r="AP10" s="301"/>
      <c r="AQ10" s="301"/>
      <c r="AR10" s="301"/>
      <c r="AS10" s="301"/>
      <c r="AT10" s="355"/>
      <c r="AU10" s="301"/>
      <c r="AV10" s="301"/>
      <c r="AW10" s="301"/>
      <c r="AX10" s="301"/>
      <c r="AY10" s="355"/>
      <c r="AZ10" s="301"/>
      <c r="BA10" s="301"/>
      <c r="BB10" s="301"/>
      <c r="BC10" s="301"/>
      <c r="BD10" s="355"/>
      <c r="BE10" s="301"/>
      <c r="BF10" s="301"/>
      <c r="BG10" s="301"/>
      <c r="BH10" s="301"/>
      <c r="BI10" s="355"/>
      <c r="BJ10" s="301"/>
      <c r="BK10" s="301"/>
      <c r="BL10" s="301"/>
      <c r="BM10" s="301"/>
      <c r="BN10" s="355"/>
      <c r="BO10" s="301"/>
      <c r="BP10" s="301"/>
      <c r="BQ10" s="301"/>
      <c r="BR10" s="301"/>
      <c r="BS10" s="355"/>
      <c r="BT10" s="301"/>
      <c r="BU10" s="301"/>
      <c r="BV10" s="301"/>
      <c r="BW10" s="301"/>
      <c r="BX10" s="388"/>
    </row>
    <row r="11" spans="4:78" x14ac:dyDescent="0.2">
      <c r="D11" s="9"/>
      <c r="F11" s="156"/>
      <c r="K11" s="156"/>
      <c r="P11" s="156"/>
      <c r="U11" s="156"/>
      <c r="Z11" s="156"/>
      <c r="AE11" s="156"/>
      <c r="AJ11" s="156"/>
      <c r="AO11" s="156"/>
      <c r="AT11" s="156"/>
      <c r="AY11" s="156"/>
      <c r="BD11" s="156"/>
      <c r="BI11" s="156"/>
      <c r="BN11" s="156"/>
      <c r="BS11" s="156"/>
      <c r="BX11" s="9"/>
    </row>
    <row r="12" spans="4:78" s="10" customFormat="1" x14ac:dyDescent="0.2">
      <c r="D12" s="79" t="s">
        <v>488</v>
      </c>
      <c r="E12" s="72" t="s">
        <v>57</v>
      </c>
      <c r="F12" s="156"/>
      <c r="G12" s="1"/>
      <c r="H12" s="275">
        <f>+H13-H17</f>
        <v>40467668</v>
      </c>
      <c r="I12" s="275"/>
      <c r="J12" s="275"/>
      <c r="K12" s="274"/>
      <c r="L12" s="275"/>
      <c r="M12" s="275">
        <f>+M13-M17</f>
        <v>-18484170</v>
      </c>
      <c r="N12" s="275"/>
      <c r="O12" s="275"/>
      <c r="P12" s="274"/>
      <c r="Q12" s="275"/>
      <c r="R12" s="275">
        <f>+R13-R17</f>
        <v>3349854</v>
      </c>
      <c r="S12" s="275"/>
      <c r="T12" s="275"/>
      <c r="U12" s="274"/>
      <c r="V12" s="275"/>
      <c r="W12" s="275">
        <f>+W13-W17</f>
        <v>-22973000</v>
      </c>
      <c r="X12" s="275"/>
      <c r="Y12" s="275"/>
      <c r="Z12" s="274"/>
      <c r="AA12" s="275"/>
      <c r="AB12" s="275">
        <f>+AB13-AB17</f>
        <v>-53649787</v>
      </c>
      <c r="AC12" s="275"/>
      <c r="AD12" s="275"/>
      <c r="AE12" s="274"/>
      <c r="AF12" s="275"/>
      <c r="AG12" s="275">
        <f>+AG13-AG17</f>
        <v>41961434</v>
      </c>
      <c r="AH12" s="275"/>
      <c r="AI12" s="275"/>
      <c r="AJ12" s="274"/>
      <c r="AK12" s="275"/>
      <c r="AL12" s="275">
        <f>+AL13-AL17</f>
        <v>-13252498</v>
      </c>
      <c r="AM12" s="275"/>
      <c r="AN12" s="275"/>
      <c r="AO12" s="274"/>
      <c r="AP12" s="275"/>
      <c r="AQ12" s="275">
        <f>+AQ13-AQ17</f>
        <v>-40961985</v>
      </c>
      <c r="AR12" s="275"/>
      <c r="AS12" s="275"/>
      <c r="AT12" s="274"/>
      <c r="AU12" s="275"/>
      <c r="AV12" s="275">
        <f>+AV13-AV17</f>
        <v>-19510192</v>
      </c>
      <c r="AW12" s="275"/>
      <c r="AX12" s="275"/>
      <c r="AY12" s="274"/>
      <c r="AZ12" s="275"/>
      <c r="BA12" s="275">
        <f>+BA13-BA17</f>
        <v>-18762903</v>
      </c>
      <c r="BB12" s="275"/>
      <c r="BC12" s="275"/>
      <c r="BD12" s="274"/>
      <c r="BE12" s="275"/>
      <c r="BF12" s="275">
        <f>+BF13-BF17</f>
        <v>-420333</v>
      </c>
      <c r="BG12" s="275"/>
      <c r="BH12" s="275"/>
      <c r="BI12" s="274"/>
      <c r="BJ12" s="275"/>
      <c r="BK12" s="275">
        <f>+BK13-BK17</f>
        <v>378365248</v>
      </c>
      <c r="BL12" s="275"/>
      <c r="BM12" s="275"/>
      <c r="BN12" s="274"/>
      <c r="BO12" s="275"/>
      <c r="BP12" s="275">
        <f>+BP13-BP17</f>
        <v>0</v>
      </c>
      <c r="BQ12" s="275"/>
      <c r="BR12" s="275"/>
      <c r="BS12" s="274"/>
      <c r="BT12" s="275"/>
      <c r="BU12" s="275">
        <f>+BU13-BU17</f>
        <v>-142703580</v>
      </c>
      <c r="BV12" s="275"/>
      <c r="BW12" s="275"/>
      <c r="BX12" s="418"/>
    </row>
    <row r="13" spans="4:78" x14ac:dyDescent="0.2">
      <c r="D13" s="9" t="s">
        <v>489</v>
      </c>
      <c r="F13" s="156"/>
      <c r="G13" s="309"/>
      <c r="H13" s="419">
        <f>SUM(H14:H15)</f>
        <v>235661668</v>
      </c>
      <c r="I13" s="420"/>
      <c r="J13" s="269"/>
      <c r="K13" s="268"/>
      <c r="L13" s="421"/>
      <c r="M13" s="419">
        <f>SUM(M14:M15)</f>
        <v>235661668</v>
      </c>
      <c r="N13" s="420"/>
      <c r="O13" s="269"/>
      <c r="P13" s="268"/>
      <c r="Q13" s="421"/>
      <c r="R13" s="419">
        <f>SUM(R14:R15)</f>
        <v>254145838</v>
      </c>
      <c r="S13" s="420"/>
      <c r="T13" s="269"/>
      <c r="U13" s="268"/>
      <c r="V13" s="421"/>
      <c r="W13" s="419">
        <f>SUM(W14:W15)</f>
        <v>250795984</v>
      </c>
      <c r="X13" s="420"/>
      <c r="Y13" s="269"/>
      <c r="Z13" s="268"/>
      <c r="AA13" s="421"/>
      <c r="AB13" s="419">
        <f>SUM(AB14:AB15)</f>
        <v>273768984</v>
      </c>
      <c r="AC13" s="420"/>
      <c r="AD13" s="269"/>
      <c r="AE13" s="268"/>
      <c r="AF13" s="421"/>
      <c r="AG13" s="419">
        <f>SUM(AG14:AG15)</f>
        <v>327418771</v>
      </c>
      <c r="AH13" s="420"/>
      <c r="AI13" s="269"/>
      <c r="AJ13" s="268"/>
      <c r="AK13" s="421"/>
      <c r="AL13" s="419">
        <f>SUM(AL14:AL15)</f>
        <v>285457337</v>
      </c>
      <c r="AM13" s="420"/>
      <c r="AN13" s="269"/>
      <c r="AO13" s="268"/>
      <c r="AP13" s="421"/>
      <c r="AQ13" s="419">
        <f>SUM(AQ14:AQ15)</f>
        <v>298709835</v>
      </c>
      <c r="AR13" s="420"/>
      <c r="AS13" s="269"/>
      <c r="AT13" s="268"/>
      <c r="AU13" s="421"/>
      <c r="AV13" s="419">
        <f>SUM(AV14:AV15)</f>
        <v>339671820</v>
      </c>
      <c r="AW13" s="420"/>
      <c r="AX13" s="269"/>
      <c r="AY13" s="268"/>
      <c r="AZ13" s="421"/>
      <c r="BA13" s="419">
        <f>SUM(BA14:BA15)</f>
        <v>359182012</v>
      </c>
      <c r="BB13" s="420"/>
      <c r="BC13" s="269"/>
      <c r="BD13" s="268"/>
      <c r="BE13" s="421"/>
      <c r="BF13" s="419">
        <f>SUM(BF14:BF15)</f>
        <v>377944915</v>
      </c>
      <c r="BG13" s="420"/>
      <c r="BH13" s="269"/>
      <c r="BI13" s="268"/>
      <c r="BJ13" s="421"/>
      <c r="BK13" s="419">
        <f>SUM(BK14:BK15)</f>
        <v>378365248</v>
      </c>
      <c r="BL13" s="420"/>
      <c r="BM13" s="269"/>
      <c r="BN13" s="268"/>
      <c r="BO13" s="421"/>
      <c r="BP13" s="419">
        <f>SUM(BP14:BP15)</f>
        <v>0</v>
      </c>
      <c r="BQ13" s="420"/>
      <c r="BR13" s="269"/>
      <c r="BS13" s="268"/>
      <c r="BT13" s="421"/>
      <c r="BU13" s="419">
        <f>SUM(BU14:BU15)</f>
        <v>235661668</v>
      </c>
      <c r="BV13" s="420"/>
      <c r="BW13" s="269"/>
      <c r="BX13" s="422"/>
      <c r="BZ13" s="10"/>
    </row>
    <row r="14" spans="4:78" x14ac:dyDescent="0.2">
      <c r="D14" s="9" t="s">
        <v>490</v>
      </c>
      <c r="F14" s="156"/>
      <c r="G14" s="156"/>
      <c r="H14" s="423">
        <v>191125443</v>
      </c>
      <c r="I14" s="285"/>
      <c r="J14" s="269"/>
      <c r="K14" s="268"/>
      <c r="L14" s="268"/>
      <c r="M14" s="423">
        <v>191125443</v>
      </c>
      <c r="N14" s="285"/>
      <c r="O14" s="269"/>
      <c r="P14" s="268"/>
      <c r="Q14" s="268"/>
      <c r="R14" s="423">
        <f>M18</f>
        <v>188398825</v>
      </c>
      <c r="S14" s="285"/>
      <c r="T14" s="269"/>
      <c r="U14" s="268"/>
      <c r="V14" s="268"/>
      <c r="W14" s="423">
        <f>R18</f>
        <v>183966537</v>
      </c>
      <c r="X14" s="285"/>
      <c r="Y14" s="269"/>
      <c r="Z14" s="268"/>
      <c r="AA14" s="268"/>
      <c r="AB14" s="423">
        <f>W18</f>
        <v>174786407</v>
      </c>
      <c r="AC14" s="285"/>
      <c r="AD14" s="269"/>
      <c r="AE14" s="268"/>
      <c r="AF14" s="268"/>
      <c r="AG14" s="423">
        <f>AB18</f>
        <v>216993276</v>
      </c>
      <c r="AH14" s="285"/>
      <c r="AI14" s="269"/>
      <c r="AJ14" s="268"/>
      <c r="AK14" s="268"/>
      <c r="AL14" s="423">
        <f>AG18</f>
        <v>178904480</v>
      </c>
      <c r="AM14" s="285"/>
      <c r="AN14" s="269"/>
      <c r="AO14" s="268"/>
      <c r="AP14" s="268"/>
      <c r="AQ14" s="423">
        <f>AL18</f>
        <v>162851119</v>
      </c>
      <c r="AR14" s="285"/>
      <c r="AS14" s="269"/>
      <c r="AT14" s="268"/>
      <c r="AU14" s="268"/>
      <c r="AV14" s="423">
        <f>AQ18</f>
        <v>150789653</v>
      </c>
      <c r="AW14" s="285"/>
      <c r="AX14" s="269"/>
      <c r="AY14" s="268"/>
      <c r="AZ14" s="268"/>
      <c r="BA14" s="423">
        <f>AV18</f>
        <v>150112405</v>
      </c>
      <c r="BB14" s="285"/>
      <c r="BC14" s="269"/>
      <c r="BD14" s="268"/>
      <c r="BE14" s="268"/>
      <c r="BF14" s="423">
        <f>BA18</f>
        <v>143765580</v>
      </c>
      <c r="BG14" s="285"/>
      <c r="BH14" s="269"/>
      <c r="BI14" s="268"/>
      <c r="BJ14" s="268"/>
      <c r="BK14" s="423">
        <f>BF18</f>
        <v>142480438</v>
      </c>
      <c r="BL14" s="285"/>
      <c r="BM14" s="269"/>
      <c r="BN14" s="268"/>
      <c r="BO14" s="268"/>
      <c r="BP14" s="423">
        <f>BK18</f>
        <v>0</v>
      </c>
      <c r="BQ14" s="285"/>
      <c r="BR14" s="269"/>
      <c r="BS14" s="268"/>
      <c r="BT14" s="268"/>
      <c r="BU14" s="424">
        <f>M14</f>
        <v>191125443</v>
      </c>
      <c r="BV14" s="285"/>
      <c r="BW14" s="269"/>
      <c r="BX14" s="422"/>
    </row>
    <row r="15" spans="4:78" x14ac:dyDescent="0.2">
      <c r="D15" s="9" t="s">
        <v>491</v>
      </c>
      <c r="F15" s="156"/>
      <c r="G15" s="156"/>
      <c r="H15" s="425">
        <v>44536225</v>
      </c>
      <c r="I15" s="285"/>
      <c r="J15" s="269"/>
      <c r="K15" s="268"/>
      <c r="L15" s="268"/>
      <c r="M15" s="425">
        <v>44536225</v>
      </c>
      <c r="N15" s="285"/>
      <c r="O15" s="269"/>
      <c r="P15" s="268"/>
      <c r="Q15" s="268"/>
      <c r="R15" s="425">
        <f>M19</f>
        <v>65747013</v>
      </c>
      <c r="S15" s="285"/>
      <c r="T15" s="269"/>
      <c r="U15" s="268"/>
      <c r="V15" s="268"/>
      <c r="W15" s="425">
        <f>R19</f>
        <v>66829447</v>
      </c>
      <c r="X15" s="285"/>
      <c r="Y15" s="269"/>
      <c r="Z15" s="268"/>
      <c r="AA15" s="268"/>
      <c r="AB15" s="425">
        <f>W19</f>
        <v>98982577</v>
      </c>
      <c r="AC15" s="285"/>
      <c r="AD15" s="269"/>
      <c r="AE15" s="268"/>
      <c r="AF15" s="268"/>
      <c r="AG15" s="425">
        <f>AB19</f>
        <v>110425495</v>
      </c>
      <c r="AH15" s="285"/>
      <c r="AI15" s="269"/>
      <c r="AJ15" s="268"/>
      <c r="AK15" s="268"/>
      <c r="AL15" s="425">
        <f>AG19</f>
        <v>106552857</v>
      </c>
      <c r="AM15" s="285"/>
      <c r="AN15" s="269"/>
      <c r="AO15" s="268"/>
      <c r="AP15" s="268"/>
      <c r="AQ15" s="425">
        <f>AL19</f>
        <v>135858716</v>
      </c>
      <c r="AR15" s="285"/>
      <c r="AS15" s="269"/>
      <c r="AT15" s="268"/>
      <c r="AU15" s="268"/>
      <c r="AV15" s="425">
        <f>AQ19</f>
        <v>188882167</v>
      </c>
      <c r="AW15" s="285"/>
      <c r="AX15" s="269"/>
      <c r="AY15" s="268"/>
      <c r="AZ15" s="268"/>
      <c r="BA15" s="425">
        <f>AV19</f>
        <v>209069607</v>
      </c>
      <c r="BB15" s="285"/>
      <c r="BC15" s="269"/>
      <c r="BD15" s="268"/>
      <c r="BE15" s="268"/>
      <c r="BF15" s="425">
        <f>BA19</f>
        <v>234179335</v>
      </c>
      <c r="BG15" s="285"/>
      <c r="BH15" s="269"/>
      <c r="BI15" s="268"/>
      <c r="BJ15" s="268"/>
      <c r="BK15" s="425">
        <f>BF19</f>
        <v>235884810</v>
      </c>
      <c r="BL15" s="285"/>
      <c r="BM15" s="269"/>
      <c r="BN15" s="268"/>
      <c r="BO15" s="268"/>
      <c r="BP15" s="425">
        <f>BK19</f>
        <v>0</v>
      </c>
      <c r="BQ15" s="285"/>
      <c r="BR15" s="269"/>
      <c r="BS15" s="268"/>
      <c r="BT15" s="268"/>
      <c r="BU15" s="426">
        <f>M15</f>
        <v>44536225</v>
      </c>
      <c r="BV15" s="285"/>
      <c r="BW15" s="269"/>
      <c r="BX15" s="422"/>
    </row>
    <row r="16" spans="4:78" x14ac:dyDescent="0.2">
      <c r="D16" s="9"/>
      <c r="F16" s="156"/>
      <c r="G16" s="156"/>
      <c r="H16" s="269"/>
      <c r="I16" s="285"/>
      <c r="J16" s="269"/>
      <c r="K16" s="268"/>
      <c r="L16" s="268"/>
      <c r="M16" s="269"/>
      <c r="N16" s="285"/>
      <c r="O16" s="269"/>
      <c r="P16" s="268"/>
      <c r="Q16" s="268"/>
      <c r="R16" s="269"/>
      <c r="S16" s="285"/>
      <c r="T16" s="269"/>
      <c r="U16" s="268"/>
      <c r="V16" s="268"/>
      <c r="W16" s="269"/>
      <c r="X16" s="285"/>
      <c r="Y16" s="269"/>
      <c r="Z16" s="268"/>
      <c r="AA16" s="268"/>
      <c r="AB16" s="269"/>
      <c r="AC16" s="285"/>
      <c r="AD16" s="269"/>
      <c r="AE16" s="268"/>
      <c r="AF16" s="268"/>
      <c r="AG16" s="269"/>
      <c r="AH16" s="285"/>
      <c r="AI16" s="269"/>
      <c r="AJ16" s="268"/>
      <c r="AK16" s="268"/>
      <c r="AL16" s="269"/>
      <c r="AM16" s="285"/>
      <c r="AN16" s="269"/>
      <c r="AO16" s="268"/>
      <c r="AP16" s="268"/>
      <c r="AQ16" s="269"/>
      <c r="AR16" s="285"/>
      <c r="AS16" s="269"/>
      <c r="AT16" s="268"/>
      <c r="AU16" s="268"/>
      <c r="AV16" s="269"/>
      <c r="AW16" s="285"/>
      <c r="AX16" s="269"/>
      <c r="AY16" s="268"/>
      <c r="AZ16" s="268"/>
      <c r="BA16" s="269"/>
      <c r="BB16" s="285"/>
      <c r="BC16" s="269"/>
      <c r="BD16" s="268"/>
      <c r="BE16" s="268"/>
      <c r="BF16" s="269"/>
      <c r="BG16" s="285"/>
      <c r="BH16" s="269"/>
      <c r="BI16" s="268"/>
      <c r="BJ16" s="268"/>
      <c r="BK16" s="269"/>
      <c r="BL16" s="285"/>
      <c r="BM16" s="269"/>
      <c r="BN16" s="268"/>
      <c r="BO16" s="268"/>
      <c r="BP16" s="269"/>
      <c r="BQ16" s="285"/>
      <c r="BR16" s="269"/>
      <c r="BS16" s="268"/>
      <c r="BT16" s="268"/>
      <c r="BU16" s="269"/>
      <c r="BV16" s="285"/>
      <c r="BW16" s="269"/>
      <c r="BX16" s="422"/>
      <c r="BZ16" s="10"/>
    </row>
    <row r="17" spans="4:84" x14ac:dyDescent="0.2">
      <c r="D17" s="9" t="s">
        <v>492</v>
      </c>
      <c r="F17" s="156"/>
      <c r="G17" s="156"/>
      <c r="H17" s="269">
        <f>SUM(H18:H19)</f>
        <v>195194000</v>
      </c>
      <c r="I17" s="285"/>
      <c r="J17" s="269"/>
      <c r="K17" s="268"/>
      <c r="L17" s="268"/>
      <c r="M17" s="269">
        <f>SUM(M18:M19)</f>
        <v>254145838</v>
      </c>
      <c r="N17" s="285"/>
      <c r="O17" s="269"/>
      <c r="P17" s="268"/>
      <c r="Q17" s="268"/>
      <c r="R17" s="269">
        <f>SUM(R18:R19)</f>
        <v>250795984</v>
      </c>
      <c r="S17" s="285"/>
      <c r="T17" s="269"/>
      <c r="U17" s="268"/>
      <c r="V17" s="268"/>
      <c r="W17" s="269">
        <f>SUM(W18:W19)</f>
        <v>273768984</v>
      </c>
      <c r="X17" s="285"/>
      <c r="Y17" s="269"/>
      <c r="Z17" s="268"/>
      <c r="AA17" s="268"/>
      <c r="AB17" s="269">
        <f>SUM(AB18:AB19)</f>
        <v>327418771</v>
      </c>
      <c r="AC17" s="285"/>
      <c r="AD17" s="269"/>
      <c r="AE17" s="268"/>
      <c r="AF17" s="268"/>
      <c r="AG17" s="269">
        <f>SUM(AG18:AG19)</f>
        <v>285457337</v>
      </c>
      <c r="AH17" s="285"/>
      <c r="AI17" s="269"/>
      <c r="AJ17" s="268"/>
      <c r="AK17" s="268"/>
      <c r="AL17" s="269">
        <f>SUM(AL18:AL19)</f>
        <v>298709835</v>
      </c>
      <c r="AM17" s="285"/>
      <c r="AN17" s="269"/>
      <c r="AO17" s="268"/>
      <c r="AP17" s="268"/>
      <c r="AQ17" s="269">
        <f>SUM(AQ18:AQ19)</f>
        <v>339671820</v>
      </c>
      <c r="AR17" s="285"/>
      <c r="AS17" s="269"/>
      <c r="AT17" s="268"/>
      <c r="AU17" s="268"/>
      <c r="AV17" s="269">
        <f>SUM(AV18:AV19)</f>
        <v>359182012</v>
      </c>
      <c r="AW17" s="285"/>
      <c r="AX17" s="269"/>
      <c r="AY17" s="268"/>
      <c r="AZ17" s="268"/>
      <c r="BA17" s="269">
        <f>SUM(BA18:BA19)</f>
        <v>377944915</v>
      </c>
      <c r="BB17" s="285"/>
      <c r="BC17" s="269"/>
      <c r="BD17" s="268"/>
      <c r="BE17" s="268"/>
      <c r="BF17" s="269">
        <f>SUM(BF18:BF19)</f>
        <v>378365248</v>
      </c>
      <c r="BG17" s="285"/>
      <c r="BH17" s="269"/>
      <c r="BI17" s="268"/>
      <c r="BJ17" s="268"/>
      <c r="BK17" s="269">
        <f>SUM(BK18:BK19)</f>
        <v>0</v>
      </c>
      <c r="BL17" s="285"/>
      <c r="BM17" s="269"/>
      <c r="BN17" s="268"/>
      <c r="BO17" s="268"/>
      <c r="BP17" s="269">
        <f>SUM(BP18:BP19)</f>
        <v>0</v>
      </c>
      <c r="BQ17" s="285"/>
      <c r="BR17" s="269"/>
      <c r="BS17" s="268"/>
      <c r="BT17" s="268"/>
      <c r="BU17" s="269">
        <f>SUM(BU18:BU19)</f>
        <v>378365248</v>
      </c>
      <c r="BV17" s="285"/>
      <c r="BW17" s="269"/>
      <c r="BX17" s="422"/>
      <c r="BZ17" s="10"/>
    </row>
    <row r="18" spans="4:84" x14ac:dyDescent="0.2">
      <c r="D18" s="9" t="s">
        <v>490</v>
      </c>
      <c r="F18" s="156"/>
      <c r="G18" s="156"/>
      <c r="H18" s="423">
        <v>145194000</v>
      </c>
      <c r="I18" s="285"/>
      <c r="J18" s="269"/>
      <c r="K18" s="268"/>
      <c r="L18" s="268"/>
      <c r="M18" s="423">
        <v>188398825</v>
      </c>
      <c r="N18" s="285"/>
      <c r="O18" s="269"/>
      <c r="P18" s="268"/>
      <c r="Q18" s="268"/>
      <c r="R18" s="423">
        <v>183966537</v>
      </c>
      <c r="S18" s="285"/>
      <c r="T18" s="269"/>
      <c r="U18" s="268"/>
      <c r="V18" s="268"/>
      <c r="W18" s="423">
        <v>174786407</v>
      </c>
      <c r="X18" s="285"/>
      <c r="Y18" s="269"/>
      <c r="Z18" s="268"/>
      <c r="AA18" s="268"/>
      <c r="AB18" s="423">
        <v>216993276</v>
      </c>
      <c r="AC18" s="285"/>
      <c r="AD18" s="269"/>
      <c r="AE18" s="268"/>
      <c r="AF18" s="268"/>
      <c r="AG18" s="423">
        <v>178904480</v>
      </c>
      <c r="AH18" s="285"/>
      <c r="AI18" s="269"/>
      <c r="AJ18" s="268"/>
      <c r="AK18" s="268"/>
      <c r="AL18" s="423">
        <v>162851119</v>
      </c>
      <c r="AM18" s="285"/>
      <c r="AN18" s="269"/>
      <c r="AO18" s="268"/>
      <c r="AP18" s="268"/>
      <c r="AQ18" s="423">
        <v>150789653</v>
      </c>
      <c r="AR18" s="285"/>
      <c r="AS18" s="269"/>
      <c r="AT18" s="268"/>
      <c r="AU18" s="268"/>
      <c r="AV18" s="423">
        <v>150112405</v>
      </c>
      <c r="AW18" s="285"/>
      <c r="AX18" s="269"/>
      <c r="AY18" s="268"/>
      <c r="AZ18" s="268"/>
      <c r="BA18" s="423">
        <v>143765580</v>
      </c>
      <c r="BB18" s="285"/>
      <c r="BC18" s="269"/>
      <c r="BD18" s="268"/>
      <c r="BE18" s="268"/>
      <c r="BF18" s="423">
        <v>142480438</v>
      </c>
      <c r="BG18" s="285"/>
      <c r="BH18" s="269"/>
      <c r="BI18" s="268"/>
      <c r="BJ18" s="268"/>
      <c r="BK18" s="423">
        <v>0</v>
      </c>
      <c r="BL18" s="285"/>
      <c r="BM18" s="269"/>
      <c r="BN18" s="268"/>
      <c r="BO18" s="268"/>
      <c r="BP18" s="423">
        <v>0</v>
      </c>
      <c r="BQ18" s="285"/>
      <c r="BR18" s="269"/>
      <c r="BS18" s="268"/>
      <c r="BT18" s="268"/>
      <c r="BU18" s="423">
        <f>BF18</f>
        <v>142480438</v>
      </c>
      <c r="BV18" s="285"/>
      <c r="BW18" s="269"/>
      <c r="BX18" s="422"/>
      <c r="BZ18" s="10"/>
    </row>
    <row r="19" spans="4:84" x14ac:dyDescent="0.2">
      <c r="D19" s="9" t="s">
        <v>491</v>
      </c>
      <c r="F19" s="156"/>
      <c r="G19" s="156"/>
      <c r="H19" s="425">
        <v>50000000</v>
      </c>
      <c r="I19" s="285"/>
      <c r="J19" s="269"/>
      <c r="K19" s="268"/>
      <c r="L19" s="268"/>
      <c r="M19" s="425">
        <v>65747013</v>
      </c>
      <c r="N19" s="285"/>
      <c r="O19" s="269"/>
      <c r="P19" s="268"/>
      <c r="Q19" s="268"/>
      <c r="R19" s="425">
        <v>66829447</v>
      </c>
      <c r="S19" s="285"/>
      <c r="T19" s="269"/>
      <c r="U19" s="268"/>
      <c r="V19" s="268"/>
      <c r="W19" s="425">
        <v>98982577</v>
      </c>
      <c r="X19" s="285"/>
      <c r="Y19" s="269"/>
      <c r="Z19" s="268"/>
      <c r="AA19" s="268"/>
      <c r="AB19" s="425">
        <v>110425495</v>
      </c>
      <c r="AC19" s="285"/>
      <c r="AD19" s="269"/>
      <c r="AE19" s="268"/>
      <c r="AF19" s="268"/>
      <c r="AG19" s="425">
        <v>106552857</v>
      </c>
      <c r="AH19" s="285"/>
      <c r="AI19" s="269"/>
      <c r="AJ19" s="268"/>
      <c r="AK19" s="268"/>
      <c r="AL19" s="425">
        <v>135858716</v>
      </c>
      <c r="AM19" s="285"/>
      <c r="AN19" s="269"/>
      <c r="AO19" s="268"/>
      <c r="AP19" s="268"/>
      <c r="AQ19" s="425">
        <v>188882167</v>
      </c>
      <c r="AR19" s="285"/>
      <c r="AS19" s="269"/>
      <c r="AT19" s="268"/>
      <c r="AU19" s="268"/>
      <c r="AV19" s="425">
        <v>209069607</v>
      </c>
      <c r="AW19" s="285"/>
      <c r="AX19" s="269"/>
      <c r="AY19" s="268"/>
      <c r="AZ19" s="268"/>
      <c r="BA19" s="425">
        <v>234179335</v>
      </c>
      <c r="BB19" s="285"/>
      <c r="BC19" s="269"/>
      <c r="BD19" s="268"/>
      <c r="BE19" s="268"/>
      <c r="BF19" s="425">
        <v>235884810</v>
      </c>
      <c r="BG19" s="285"/>
      <c r="BH19" s="269"/>
      <c r="BI19" s="268"/>
      <c r="BJ19" s="268"/>
      <c r="BK19" s="425">
        <v>0</v>
      </c>
      <c r="BL19" s="285"/>
      <c r="BM19" s="269"/>
      <c r="BN19" s="268"/>
      <c r="BO19" s="268"/>
      <c r="BP19" s="425">
        <v>0</v>
      </c>
      <c r="BQ19" s="285"/>
      <c r="BR19" s="269"/>
      <c r="BS19" s="268"/>
      <c r="BT19" s="268"/>
      <c r="BU19" s="425">
        <f>BF19</f>
        <v>235884810</v>
      </c>
      <c r="BV19" s="285"/>
      <c r="BW19" s="269"/>
      <c r="BX19" s="422"/>
      <c r="BZ19" s="10"/>
    </row>
    <row r="20" spans="4:84" x14ac:dyDescent="0.2">
      <c r="D20" s="9"/>
      <c r="F20" s="156"/>
      <c r="G20" s="320"/>
      <c r="H20" s="427"/>
      <c r="I20" s="428"/>
      <c r="J20" s="269"/>
      <c r="K20" s="268"/>
      <c r="L20" s="429"/>
      <c r="M20" s="427"/>
      <c r="N20" s="428"/>
      <c r="O20" s="269"/>
      <c r="P20" s="268"/>
      <c r="Q20" s="429"/>
      <c r="R20" s="427"/>
      <c r="S20" s="428"/>
      <c r="T20" s="269"/>
      <c r="U20" s="268"/>
      <c r="V20" s="429"/>
      <c r="W20" s="427"/>
      <c r="X20" s="428"/>
      <c r="Y20" s="269"/>
      <c r="Z20" s="268"/>
      <c r="AA20" s="429"/>
      <c r="AB20" s="427"/>
      <c r="AC20" s="428"/>
      <c r="AD20" s="269"/>
      <c r="AE20" s="268"/>
      <c r="AF20" s="429"/>
      <c r="AG20" s="427"/>
      <c r="AH20" s="428"/>
      <c r="AI20" s="269"/>
      <c r="AJ20" s="268"/>
      <c r="AK20" s="429"/>
      <c r="AL20" s="427"/>
      <c r="AM20" s="428"/>
      <c r="AN20" s="269"/>
      <c r="AO20" s="268"/>
      <c r="AP20" s="429"/>
      <c r="AQ20" s="427"/>
      <c r="AR20" s="428"/>
      <c r="AS20" s="269"/>
      <c r="AT20" s="268"/>
      <c r="AU20" s="429"/>
      <c r="AV20" s="427"/>
      <c r="AW20" s="428"/>
      <c r="AX20" s="269"/>
      <c r="AY20" s="268"/>
      <c r="AZ20" s="429"/>
      <c r="BA20" s="427"/>
      <c r="BB20" s="428"/>
      <c r="BC20" s="269"/>
      <c r="BD20" s="268"/>
      <c r="BE20" s="429"/>
      <c r="BF20" s="427"/>
      <c r="BG20" s="428"/>
      <c r="BH20" s="269"/>
      <c r="BI20" s="268"/>
      <c r="BJ20" s="429"/>
      <c r="BK20" s="427"/>
      <c r="BL20" s="428"/>
      <c r="BM20" s="269"/>
      <c r="BN20" s="268"/>
      <c r="BO20" s="429"/>
      <c r="BP20" s="427"/>
      <c r="BQ20" s="428"/>
      <c r="BR20" s="269"/>
      <c r="BS20" s="268"/>
      <c r="BT20" s="429"/>
      <c r="BU20" s="427"/>
      <c r="BV20" s="428"/>
      <c r="BW20" s="269"/>
      <c r="BX20" s="422"/>
      <c r="BZ20" s="10"/>
    </row>
    <row r="21" spans="4:84" x14ac:dyDescent="0.2">
      <c r="D21" s="9"/>
      <c r="F21" s="156"/>
      <c r="H21" s="323"/>
      <c r="I21" s="323"/>
      <c r="J21" s="323"/>
      <c r="K21" s="322"/>
      <c r="L21" s="323"/>
      <c r="M21" s="323"/>
      <c r="N21" s="323"/>
      <c r="O21" s="323"/>
      <c r="P21" s="322"/>
      <c r="Q21" s="323"/>
      <c r="R21" s="323"/>
      <c r="S21" s="323"/>
      <c r="T21" s="323"/>
      <c r="U21" s="322"/>
      <c r="V21" s="323"/>
      <c r="W21" s="323"/>
      <c r="X21" s="323"/>
      <c r="Y21" s="323"/>
      <c r="Z21" s="322"/>
      <c r="AA21" s="323"/>
      <c r="AB21" s="323"/>
      <c r="AC21" s="323"/>
      <c r="AD21" s="323"/>
      <c r="AE21" s="322"/>
      <c r="AF21" s="323"/>
      <c r="AG21" s="323"/>
      <c r="AH21" s="323"/>
      <c r="AI21" s="323"/>
      <c r="AJ21" s="322"/>
      <c r="AK21" s="323"/>
      <c r="AL21" s="323"/>
      <c r="AM21" s="323"/>
      <c r="AN21" s="323"/>
      <c r="AO21" s="322"/>
      <c r="AP21" s="323"/>
      <c r="AQ21" s="323"/>
      <c r="AR21" s="323"/>
      <c r="AS21" s="323"/>
      <c r="AT21" s="322"/>
      <c r="AU21" s="323"/>
      <c r="AV21" s="323"/>
      <c r="AW21" s="323"/>
      <c r="AX21" s="323"/>
      <c r="AY21" s="322"/>
      <c r="AZ21" s="323"/>
      <c r="BA21" s="323"/>
      <c r="BB21" s="323"/>
      <c r="BC21" s="323"/>
      <c r="BD21" s="322"/>
      <c r="BE21" s="323"/>
      <c r="BF21" s="323"/>
      <c r="BG21" s="323"/>
      <c r="BH21" s="323"/>
      <c r="BI21" s="322"/>
      <c r="BJ21" s="323"/>
      <c r="BK21" s="323"/>
      <c r="BL21" s="323"/>
      <c r="BM21" s="323"/>
      <c r="BN21" s="322"/>
      <c r="BO21" s="323"/>
      <c r="BP21" s="323"/>
      <c r="BQ21" s="323"/>
      <c r="BR21" s="323"/>
      <c r="BS21" s="322"/>
      <c r="BT21" s="323"/>
      <c r="BU21" s="323"/>
      <c r="BV21" s="323"/>
      <c r="BW21" s="323"/>
      <c r="BX21" s="356"/>
      <c r="BZ21" s="10"/>
    </row>
    <row r="22" spans="4:84" s="10" customFormat="1" x14ac:dyDescent="0.2">
      <c r="D22" s="79"/>
      <c r="E22" s="115"/>
      <c r="F22" s="145"/>
      <c r="H22" s="325"/>
      <c r="I22" s="325"/>
      <c r="J22" s="325"/>
      <c r="K22" s="324"/>
      <c r="L22" s="325"/>
      <c r="M22" s="325"/>
      <c r="N22" s="325"/>
      <c r="O22" s="325"/>
      <c r="P22" s="324"/>
      <c r="Q22" s="325"/>
      <c r="R22" s="325"/>
      <c r="S22" s="325"/>
      <c r="T22" s="325"/>
      <c r="U22" s="324"/>
      <c r="V22" s="325"/>
      <c r="W22" s="325"/>
      <c r="X22" s="325"/>
      <c r="Y22" s="325"/>
      <c r="Z22" s="324"/>
      <c r="AA22" s="325"/>
      <c r="AB22" s="325"/>
      <c r="AC22" s="325"/>
      <c r="AD22" s="325"/>
      <c r="AE22" s="324"/>
      <c r="AF22" s="325"/>
      <c r="AG22" s="325"/>
      <c r="AH22" s="325"/>
      <c r="AI22" s="325"/>
      <c r="AJ22" s="324"/>
      <c r="AK22" s="325"/>
      <c r="AL22" s="325"/>
      <c r="AM22" s="325"/>
      <c r="AN22" s="325"/>
      <c r="AO22" s="324"/>
      <c r="AP22" s="325"/>
      <c r="AQ22" s="325"/>
      <c r="AR22" s="325"/>
      <c r="AS22" s="325"/>
      <c r="AT22" s="324"/>
      <c r="AU22" s="325"/>
      <c r="AV22" s="325"/>
      <c r="AW22" s="325"/>
      <c r="AX22" s="325"/>
      <c r="AY22" s="324"/>
      <c r="AZ22" s="325"/>
      <c r="BA22" s="325"/>
      <c r="BB22" s="325"/>
      <c r="BC22" s="325"/>
      <c r="BD22" s="324"/>
      <c r="BE22" s="325"/>
      <c r="BF22" s="325"/>
      <c r="BG22" s="325"/>
      <c r="BH22" s="325"/>
      <c r="BI22" s="324"/>
      <c r="BJ22" s="325"/>
      <c r="BK22" s="325"/>
      <c r="BL22" s="325"/>
      <c r="BM22" s="325"/>
      <c r="BN22" s="324"/>
      <c r="BO22" s="325"/>
      <c r="BP22" s="325"/>
      <c r="BQ22" s="325"/>
      <c r="BR22" s="325"/>
      <c r="BS22" s="324"/>
      <c r="BT22" s="325"/>
      <c r="BU22" s="325"/>
      <c r="BV22" s="325"/>
      <c r="BW22" s="325"/>
      <c r="BX22" s="388"/>
    </row>
    <row r="23" spans="4:84" s="10" customFormat="1" x14ac:dyDescent="0.2">
      <c r="D23" s="142" t="s">
        <v>493</v>
      </c>
      <c r="E23" s="115"/>
      <c r="F23" s="145"/>
      <c r="H23" s="275">
        <v>0</v>
      </c>
      <c r="I23" s="275"/>
      <c r="J23" s="275"/>
      <c r="K23" s="274"/>
      <c r="L23" s="275"/>
      <c r="M23" s="275">
        <v>34143659</v>
      </c>
      <c r="N23" s="275"/>
      <c r="O23" s="275"/>
      <c r="P23" s="274"/>
      <c r="Q23" s="275"/>
      <c r="R23" s="275">
        <v>-4349966</v>
      </c>
      <c r="S23" s="275"/>
      <c r="T23" s="275"/>
      <c r="U23" s="274"/>
      <c r="V23" s="275"/>
      <c r="W23" s="275">
        <v>2527515</v>
      </c>
      <c r="X23" s="275"/>
      <c r="Y23" s="275"/>
      <c r="Z23" s="274"/>
      <c r="AA23" s="275"/>
      <c r="AB23" s="275">
        <v>-24856159</v>
      </c>
      <c r="AC23" s="275"/>
      <c r="AD23" s="275"/>
      <c r="AE23" s="274"/>
      <c r="AF23" s="275"/>
      <c r="AG23" s="275">
        <v>26866570</v>
      </c>
      <c r="AH23" s="275"/>
      <c r="AI23" s="275"/>
      <c r="AJ23" s="274"/>
      <c r="AK23" s="275"/>
      <c r="AL23" s="275">
        <v>-5977613</v>
      </c>
      <c r="AM23" s="275"/>
      <c r="AN23" s="275"/>
      <c r="AO23" s="274"/>
      <c r="AP23" s="275"/>
      <c r="AQ23" s="275">
        <v>15416167</v>
      </c>
      <c r="AR23" s="275"/>
      <c r="AS23" s="275"/>
      <c r="AT23" s="274"/>
      <c r="AU23" s="275"/>
      <c r="AV23" s="275">
        <v>-315227</v>
      </c>
      <c r="AW23" s="275"/>
      <c r="AX23" s="275"/>
      <c r="AY23" s="274"/>
      <c r="AZ23" s="275"/>
      <c r="BA23" s="275">
        <v>-6539100</v>
      </c>
      <c r="BB23" s="275"/>
      <c r="BC23" s="275"/>
      <c r="BD23" s="274"/>
      <c r="BE23" s="275"/>
      <c r="BF23" s="275">
        <v>59957836</v>
      </c>
      <c r="BG23" s="275"/>
      <c r="BH23" s="275"/>
      <c r="BI23" s="274"/>
      <c r="BJ23" s="275"/>
      <c r="BK23" s="275">
        <v>0</v>
      </c>
      <c r="BL23" s="275"/>
      <c r="BM23" s="275"/>
      <c r="BN23" s="274"/>
      <c r="BO23" s="275"/>
      <c r="BP23" s="275">
        <v>0</v>
      </c>
      <c r="BQ23" s="275"/>
      <c r="BR23" s="275"/>
      <c r="BS23" s="274"/>
      <c r="BT23" s="275"/>
      <c r="BU23" s="275">
        <f>SUM(M23:BP23)</f>
        <v>96873682</v>
      </c>
      <c r="BV23" s="275"/>
      <c r="BW23" s="275"/>
      <c r="BX23" s="418"/>
    </row>
    <row r="24" spans="4:84" x14ac:dyDescent="0.2">
      <c r="D24" s="9"/>
      <c r="F24" s="156"/>
      <c r="H24" s="323"/>
      <c r="I24" s="323"/>
      <c r="J24" s="323"/>
      <c r="K24" s="322"/>
      <c r="L24" s="323"/>
      <c r="M24" s="323"/>
      <c r="N24" s="323"/>
      <c r="O24" s="323"/>
      <c r="P24" s="322"/>
      <c r="Q24" s="323"/>
      <c r="R24" s="323"/>
      <c r="S24" s="323"/>
      <c r="T24" s="323"/>
      <c r="U24" s="322"/>
      <c r="V24" s="323"/>
      <c r="W24" s="323"/>
      <c r="X24" s="323"/>
      <c r="Y24" s="323"/>
      <c r="Z24" s="322"/>
      <c r="AA24" s="323"/>
      <c r="AB24" s="323"/>
      <c r="AC24" s="323"/>
      <c r="AD24" s="323"/>
      <c r="AE24" s="322"/>
      <c r="AF24" s="323"/>
      <c r="AG24" s="323"/>
      <c r="AH24" s="323"/>
      <c r="AI24" s="323"/>
      <c r="AJ24" s="322"/>
      <c r="AK24" s="323"/>
      <c r="AL24" s="323"/>
      <c r="AM24" s="323"/>
      <c r="AN24" s="323"/>
      <c r="AO24" s="322"/>
      <c r="AP24" s="323"/>
      <c r="AQ24" s="323"/>
      <c r="AR24" s="323"/>
      <c r="AS24" s="323"/>
      <c r="AT24" s="322"/>
      <c r="AU24" s="323"/>
      <c r="AV24" s="323"/>
      <c r="AW24" s="323"/>
      <c r="AX24" s="323"/>
      <c r="AY24" s="322"/>
      <c r="AZ24" s="323"/>
      <c r="BA24" s="323"/>
      <c r="BB24" s="323"/>
      <c r="BC24" s="323"/>
      <c r="BD24" s="322"/>
      <c r="BE24" s="323"/>
      <c r="BF24" s="323"/>
      <c r="BG24" s="323"/>
      <c r="BH24" s="323"/>
      <c r="BI24" s="322"/>
      <c r="BJ24" s="323"/>
      <c r="BK24" s="323"/>
      <c r="BL24" s="323"/>
      <c r="BM24" s="323"/>
      <c r="BN24" s="322"/>
      <c r="BO24" s="323"/>
      <c r="BP24" s="323"/>
      <c r="BQ24" s="323"/>
      <c r="BR24" s="323"/>
      <c r="BS24" s="322"/>
      <c r="BT24" s="323"/>
      <c r="BX24" s="9"/>
      <c r="BZ24" s="10"/>
    </row>
    <row r="25" spans="4:84" s="10" customFormat="1" x14ac:dyDescent="0.2">
      <c r="D25" s="79" t="s">
        <v>494</v>
      </c>
      <c r="E25" s="115"/>
      <c r="F25" s="145"/>
      <c r="H25" s="325">
        <v>0</v>
      </c>
      <c r="I25" s="325"/>
      <c r="J25" s="325"/>
      <c r="K25" s="324"/>
      <c r="L25" s="325"/>
      <c r="M25" s="325">
        <v>0</v>
      </c>
      <c r="N25" s="325"/>
      <c r="O25" s="325"/>
      <c r="P25" s="324"/>
      <c r="Q25" s="325"/>
      <c r="R25" s="325">
        <v>0</v>
      </c>
      <c r="S25" s="325"/>
      <c r="T25" s="325"/>
      <c r="U25" s="324"/>
      <c r="V25" s="325"/>
      <c r="W25" s="325">
        <v>0</v>
      </c>
      <c r="X25" s="325"/>
      <c r="Y25" s="325"/>
      <c r="Z25" s="324"/>
      <c r="AA25" s="325"/>
      <c r="AB25" s="325">
        <v>0</v>
      </c>
      <c r="AC25" s="325"/>
      <c r="AD25" s="325"/>
      <c r="AE25" s="324"/>
      <c r="AF25" s="325"/>
      <c r="AG25" s="325">
        <v>0</v>
      </c>
      <c r="AH25" s="325"/>
      <c r="AI25" s="325"/>
      <c r="AJ25" s="324"/>
      <c r="AK25" s="325"/>
      <c r="AL25" s="325">
        <v>0</v>
      </c>
      <c r="AM25" s="325"/>
      <c r="AN25" s="325"/>
      <c r="AO25" s="324"/>
      <c r="AP25" s="325"/>
      <c r="AQ25" s="325">
        <v>0</v>
      </c>
      <c r="AR25" s="325"/>
      <c r="AS25" s="325"/>
      <c r="AT25" s="324"/>
      <c r="AU25" s="325"/>
      <c r="AV25" s="325">
        <v>0</v>
      </c>
      <c r="AW25" s="325"/>
      <c r="AX25" s="325"/>
      <c r="AY25" s="324"/>
      <c r="AZ25" s="325"/>
      <c r="BA25" s="325">
        <v>0</v>
      </c>
      <c r="BB25" s="325"/>
      <c r="BC25" s="325"/>
      <c r="BD25" s="324"/>
      <c r="BE25" s="325"/>
      <c r="BF25" s="325">
        <v>0</v>
      </c>
      <c r="BG25" s="325"/>
      <c r="BH25" s="325"/>
      <c r="BI25" s="324"/>
      <c r="BJ25" s="325"/>
      <c r="BK25" s="325">
        <v>0</v>
      </c>
      <c r="BL25" s="325"/>
      <c r="BM25" s="325"/>
      <c r="BN25" s="324"/>
      <c r="BO25" s="325"/>
      <c r="BP25" s="325">
        <v>0</v>
      </c>
      <c r="BQ25" s="325"/>
      <c r="BR25" s="325"/>
      <c r="BS25" s="324"/>
      <c r="BT25" s="325"/>
      <c r="BU25" s="275">
        <f>SUM(M25:BP25)</f>
        <v>0</v>
      </c>
      <c r="BX25" s="79"/>
      <c r="CF25" s="430"/>
    </row>
    <row r="26" spans="4:84" x14ac:dyDescent="0.2">
      <c r="D26" s="9"/>
      <c r="F26" s="156"/>
      <c r="H26" s="323"/>
      <c r="I26" s="323"/>
      <c r="J26" s="323"/>
      <c r="K26" s="322"/>
      <c r="L26" s="323"/>
      <c r="M26" s="323"/>
      <c r="N26" s="323"/>
      <c r="O26" s="323"/>
      <c r="P26" s="322"/>
      <c r="Q26" s="323"/>
      <c r="R26" s="323"/>
      <c r="S26" s="323"/>
      <c r="T26" s="323"/>
      <c r="U26" s="322"/>
      <c r="V26" s="323"/>
      <c r="W26" s="323"/>
      <c r="X26" s="323"/>
      <c r="Y26" s="323"/>
      <c r="Z26" s="322"/>
      <c r="AA26" s="323"/>
      <c r="AB26" s="323"/>
      <c r="AC26" s="323"/>
      <c r="AD26" s="323"/>
      <c r="AE26" s="322"/>
      <c r="AF26" s="323"/>
      <c r="AG26" s="323"/>
      <c r="AH26" s="323"/>
      <c r="AI26" s="323"/>
      <c r="AJ26" s="322"/>
      <c r="AK26" s="323"/>
      <c r="AL26" s="323"/>
      <c r="AM26" s="323"/>
      <c r="AN26" s="323"/>
      <c r="AO26" s="322"/>
      <c r="AP26" s="323"/>
      <c r="AQ26" s="323"/>
      <c r="AR26" s="323"/>
      <c r="AS26" s="323"/>
      <c r="AT26" s="322"/>
      <c r="AU26" s="323"/>
      <c r="AV26" s="323"/>
      <c r="AW26" s="323"/>
      <c r="AX26" s="323"/>
      <c r="AY26" s="322"/>
      <c r="AZ26" s="323"/>
      <c r="BA26" s="323"/>
      <c r="BB26" s="323"/>
      <c r="BC26" s="323"/>
      <c r="BD26" s="322"/>
      <c r="BE26" s="323"/>
      <c r="BF26" s="323"/>
      <c r="BG26" s="323"/>
      <c r="BH26" s="323"/>
      <c r="BI26" s="322"/>
      <c r="BJ26" s="323"/>
      <c r="BK26" s="323"/>
      <c r="BL26" s="323"/>
      <c r="BM26" s="323"/>
      <c r="BN26" s="322"/>
      <c r="BO26" s="323"/>
      <c r="BP26" s="323"/>
      <c r="BQ26" s="323"/>
      <c r="BR26" s="323"/>
      <c r="BS26" s="322"/>
      <c r="BT26" s="323"/>
      <c r="BU26" s="323"/>
      <c r="BV26" s="323"/>
      <c r="BW26" s="323"/>
      <c r="BX26" s="356"/>
      <c r="BZ26" s="10"/>
    </row>
    <row r="27" spans="4:84" s="10" customFormat="1" x14ac:dyDescent="0.2">
      <c r="D27" s="79" t="s">
        <v>495</v>
      </c>
      <c r="E27" s="72" t="s">
        <v>59</v>
      </c>
      <c r="F27" s="156"/>
      <c r="G27" s="1"/>
      <c r="H27" s="275">
        <f>SUM(H28:H29)</f>
        <v>7368043.66846109</v>
      </c>
      <c r="I27" s="275"/>
      <c r="J27" s="275"/>
      <c r="K27" s="274"/>
      <c r="L27" s="275"/>
      <c r="M27" s="275">
        <f>SUM(M28:M29)</f>
        <v>0</v>
      </c>
      <c r="N27" s="275"/>
      <c r="O27" s="275"/>
      <c r="P27" s="274"/>
      <c r="Q27" s="275"/>
      <c r="R27" s="275">
        <f>SUM(R28:R29)</f>
        <v>871744.25600000005</v>
      </c>
      <c r="S27" s="275"/>
      <c r="T27" s="275"/>
      <c r="U27" s="274"/>
      <c r="V27" s="275"/>
      <c r="W27" s="275">
        <f>SUM(W28:W29)</f>
        <v>0</v>
      </c>
      <c r="X27" s="275"/>
      <c r="Y27" s="275"/>
      <c r="Z27" s="274"/>
      <c r="AA27" s="275"/>
      <c r="AB27" s="275">
        <f>SUM(AB28:AB29)</f>
        <v>126224</v>
      </c>
      <c r="AC27" s="275"/>
      <c r="AD27" s="275"/>
      <c r="AE27" s="274"/>
      <c r="AF27" s="275"/>
      <c r="AG27" s="275">
        <f>SUM(AG28:AG29)</f>
        <v>0</v>
      </c>
      <c r="AH27" s="275"/>
      <c r="AI27" s="275"/>
      <c r="AJ27" s="274"/>
      <c r="AK27" s="275"/>
      <c r="AL27" s="275">
        <f>SUM(AL28:AL29)</f>
        <v>3836</v>
      </c>
      <c r="AM27" s="275"/>
      <c r="AN27" s="275"/>
      <c r="AO27" s="274"/>
      <c r="AP27" s="275"/>
      <c r="AQ27" s="275">
        <f>SUM(AQ28:AQ29)</f>
        <v>1831061</v>
      </c>
      <c r="AR27" s="275"/>
      <c r="AS27" s="275"/>
      <c r="AT27" s="274"/>
      <c r="AU27" s="275"/>
      <c r="AV27" s="275">
        <f>SUM(AV28:AV29)</f>
        <v>2236273</v>
      </c>
      <c r="AW27" s="275"/>
      <c r="AX27" s="275"/>
      <c r="AY27" s="274"/>
      <c r="AZ27" s="275"/>
      <c r="BA27" s="275">
        <f>SUM(BA28:BA29)</f>
        <v>1620990</v>
      </c>
      <c r="BB27" s="275"/>
      <c r="BC27" s="275"/>
      <c r="BD27" s="274"/>
      <c r="BE27" s="275"/>
      <c r="BF27" s="275">
        <f>SUM(BF28:BF29)</f>
        <v>89678</v>
      </c>
      <c r="BG27" s="275"/>
      <c r="BH27" s="275"/>
      <c r="BI27" s="274"/>
      <c r="BJ27" s="275"/>
      <c r="BK27" s="275">
        <f>SUM(BK28:BK29)</f>
        <v>0</v>
      </c>
      <c r="BL27" s="275"/>
      <c r="BM27" s="275"/>
      <c r="BN27" s="274"/>
      <c r="BO27" s="275"/>
      <c r="BP27" s="275">
        <f>SUM(BP28:BP29)</f>
        <v>0</v>
      </c>
      <c r="BQ27" s="275"/>
      <c r="BR27" s="275"/>
      <c r="BS27" s="274"/>
      <c r="BT27" s="275"/>
      <c r="BU27" s="275">
        <f>SUM(BU28:BU29)</f>
        <v>6779806.2560000001</v>
      </c>
      <c r="BV27" s="275"/>
      <c r="BW27" s="275"/>
      <c r="BX27" s="418"/>
    </row>
    <row r="28" spans="4:84" s="10" customFormat="1" x14ac:dyDescent="0.2">
      <c r="D28" s="431" t="s">
        <v>496</v>
      </c>
      <c r="E28" s="115"/>
      <c r="F28" s="147"/>
      <c r="G28" s="432"/>
      <c r="H28" s="433">
        <f>4082765.44774151+3285278.22071958</f>
        <v>7368043.66846109</v>
      </c>
      <c r="I28" s="433"/>
      <c r="J28" s="434"/>
      <c r="K28" s="434"/>
      <c r="L28" s="433"/>
      <c r="M28" s="433">
        <v>0</v>
      </c>
      <c r="N28" s="433"/>
      <c r="O28" s="434"/>
      <c r="P28" s="434"/>
      <c r="Q28" s="433"/>
      <c r="R28" s="433">
        <v>871744.25600000005</v>
      </c>
      <c r="S28" s="433"/>
      <c r="T28" s="434"/>
      <c r="U28" s="434"/>
      <c r="V28" s="433"/>
      <c r="W28" s="433">
        <v>0</v>
      </c>
      <c r="X28" s="433"/>
      <c r="Y28" s="434"/>
      <c r="Z28" s="434"/>
      <c r="AA28" s="433"/>
      <c r="AB28" s="433">
        <v>126224</v>
      </c>
      <c r="AC28" s="433"/>
      <c r="AD28" s="434"/>
      <c r="AE28" s="434"/>
      <c r="AF28" s="433"/>
      <c r="AG28" s="433">
        <v>0</v>
      </c>
      <c r="AH28" s="433"/>
      <c r="AI28" s="434"/>
      <c r="AJ28" s="434"/>
      <c r="AK28" s="433"/>
      <c r="AL28" s="433">
        <v>3836</v>
      </c>
      <c r="AM28" s="433"/>
      <c r="AN28" s="434"/>
      <c r="AO28" s="434"/>
      <c r="AP28" s="433"/>
      <c r="AQ28" s="433">
        <v>1831061</v>
      </c>
      <c r="AR28" s="433"/>
      <c r="AS28" s="434"/>
      <c r="AT28" s="434"/>
      <c r="AU28" s="433"/>
      <c r="AV28" s="433">
        <v>2236273</v>
      </c>
      <c r="AW28" s="433"/>
      <c r="AX28" s="434"/>
      <c r="AY28" s="434"/>
      <c r="AZ28" s="433"/>
      <c r="BA28" s="433">
        <v>1620990</v>
      </c>
      <c r="BB28" s="379"/>
      <c r="BC28" s="434"/>
      <c r="BD28" s="434"/>
      <c r="BE28" s="379"/>
      <c r="BF28" s="433">
        <v>89678</v>
      </c>
      <c r="BG28" s="433"/>
      <c r="BH28" s="434"/>
      <c r="BI28" s="434"/>
      <c r="BJ28" s="433"/>
      <c r="BK28" s="433">
        <v>0</v>
      </c>
      <c r="BL28" s="433"/>
      <c r="BM28" s="434"/>
      <c r="BN28" s="434"/>
      <c r="BO28" s="433"/>
      <c r="BP28" s="433">
        <v>0</v>
      </c>
      <c r="BQ28" s="433"/>
      <c r="BR28" s="434"/>
      <c r="BS28" s="434"/>
      <c r="BT28" s="433"/>
      <c r="BU28" s="433">
        <f>SUM(M28:BP28)</f>
        <v>6779806.2560000001</v>
      </c>
      <c r="BV28" s="433"/>
      <c r="BW28" s="434"/>
      <c r="BX28" s="418"/>
    </row>
    <row r="29" spans="4:84" hidden="1" x14ac:dyDescent="0.2">
      <c r="D29" s="171" t="s">
        <v>497</v>
      </c>
      <c r="F29" s="156"/>
      <c r="G29" s="320"/>
      <c r="H29" s="427">
        <v>0</v>
      </c>
      <c r="I29" s="428"/>
      <c r="J29" s="269"/>
      <c r="K29" s="268"/>
      <c r="L29" s="429"/>
      <c r="M29" s="427">
        <v>0</v>
      </c>
      <c r="N29" s="428"/>
      <c r="O29" s="269"/>
      <c r="P29" s="268"/>
      <c r="Q29" s="429"/>
      <c r="R29" s="427">
        <v>0</v>
      </c>
      <c r="S29" s="428"/>
      <c r="T29" s="269"/>
      <c r="U29" s="268"/>
      <c r="V29" s="429"/>
      <c r="W29" s="427">
        <v>0</v>
      </c>
      <c r="X29" s="428"/>
      <c r="Y29" s="269"/>
      <c r="Z29" s="268"/>
      <c r="AA29" s="429"/>
      <c r="AB29" s="427">
        <v>0</v>
      </c>
      <c r="AC29" s="428"/>
      <c r="AD29" s="269"/>
      <c r="AE29" s="268"/>
      <c r="AF29" s="429"/>
      <c r="AG29" s="427">
        <v>0</v>
      </c>
      <c r="AH29" s="428"/>
      <c r="AI29" s="269"/>
      <c r="AJ29" s="268"/>
      <c r="AK29" s="429"/>
      <c r="AL29" s="427">
        <v>0</v>
      </c>
      <c r="AM29" s="428"/>
      <c r="AN29" s="269"/>
      <c r="AO29" s="268"/>
      <c r="AP29" s="429"/>
      <c r="AQ29" s="427">
        <v>0</v>
      </c>
      <c r="AR29" s="428"/>
      <c r="AS29" s="269"/>
      <c r="AT29" s="268"/>
      <c r="AU29" s="429"/>
      <c r="AV29" s="427">
        <v>0</v>
      </c>
      <c r="AW29" s="428"/>
      <c r="AX29" s="269"/>
      <c r="AY29" s="268"/>
      <c r="AZ29" s="429"/>
      <c r="BA29" s="427">
        <v>0</v>
      </c>
      <c r="BB29" s="428"/>
      <c r="BC29" s="269"/>
      <c r="BD29" s="268"/>
      <c r="BE29" s="429"/>
      <c r="BF29" s="427">
        <v>0</v>
      </c>
      <c r="BG29" s="428"/>
      <c r="BH29" s="269"/>
      <c r="BI29" s="268"/>
      <c r="BJ29" s="429"/>
      <c r="BK29" s="427">
        <v>0</v>
      </c>
      <c r="BL29" s="428"/>
      <c r="BM29" s="269"/>
      <c r="BN29" s="268"/>
      <c r="BO29" s="429"/>
      <c r="BP29" s="427">
        <v>0</v>
      </c>
      <c r="BQ29" s="428"/>
      <c r="BR29" s="269"/>
      <c r="BS29" s="268"/>
      <c r="BT29" s="429"/>
      <c r="BU29" s="427">
        <f>SUM(M29:BP29)</f>
        <v>0</v>
      </c>
      <c r="BV29" s="428"/>
      <c r="BW29" s="269"/>
      <c r="BX29" s="422"/>
      <c r="BZ29" s="10"/>
    </row>
    <row r="30" spans="4:84" x14ac:dyDescent="0.2">
      <c r="D30" s="9"/>
      <c r="F30" s="156"/>
      <c r="K30" s="156"/>
      <c r="P30" s="156"/>
      <c r="U30" s="156"/>
      <c r="Z30" s="156"/>
      <c r="AE30" s="156"/>
      <c r="AJ30" s="156"/>
      <c r="AO30" s="156"/>
      <c r="AT30" s="156"/>
      <c r="AY30" s="156"/>
      <c r="BD30" s="156"/>
      <c r="BI30" s="156"/>
      <c r="BN30" s="156"/>
      <c r="BS30" s="156"/>
      <c r="BW30" s="269"/>
      <c r="BX30" s="422"/>
      <c r="BZ30" s="10"/>
    </row>
    <row r="31" spans="4:84" x14ac:dyDescent="0.2">
      <c r="D31" s="9"/>
      <c r="F31" s="156"/>
      <c r="H31" s="323"/>
      <c r="I31" s="323"/>
      <c r="J31" s="323"/>
      <c r="K31" s="322"/>
      <c r="L31" s="323"/>
      <c r="M31" s="323"/>
      <c r="N31" s="323"/>
      <c r="O31" s="323"/>
      <c r="P31" s="322"/>
      <c r="Q31" s="323"/>
      <c r="R31" s="323"/>
      <c r="S31" s="323"/>
      <c r="T31" s="323"/>
      <c r="U31" s="322"/>
      <c r="V31" s="323"/>
      <c r="W31" s="323"/>
      <c r="X31" s="323"/>
      <c r="Y31" s="323"/>
      <c r="Z31" s="322"/>
      <c r="AA31" s="323"/>
      <c r="AB31" s="323"/>
      <c r="AC31" s="323"/>
      <c r="AD31" s="323"/>
      <c r="AE31" s="322"/>
      <c r="AF31" s="323"/>
      <c r="AG31" s="323"/>
      <c r="AH31" s="323"/>
      <c r="AI31" s="323"/>
      <c r="AJ31" s="322"/>
      <c r="AK31" s="323"/>
      <c r="AL31" s="323"/>
      <c r="AM31" s="323"/>
      <c r="AN31" s="323"/>
      <c r="AO31" s="322"/>
      <c r="AP31" s="323"/>
      <c r="AQ31" s="323"/>
      <c r="AR31" s="323"/>
      <c r="AS31" s="323"/>
      <c r="AT31" s="322"/>
      <c r="AU31" s="323"/>
      <c r="AV31" s="323"/>
      <c r="AW31" s="323"/>
      <c r="AX31" s="323"/>
      <c r="AY31" s="322"/>
      <c r="AZ31" s="323"/>
      <c r="BA31" s="323"/>
      <c r="BB31" s="323"/>
      <c r="BC31" s="323"/>
      <c r="BD31" s="322"/>
      <c r="BE31" s="323"/>
      <c r="BF31" s="323"/>
      <c r="BG31" s="323"/>
      <c r="BH31" s="323"/>
      <c r="BI31" s="322"/>
      <c r="BJ31" s="323"/>
      <c r="BK31" s="323"/>
      <c r="BL31" s="323"/>
      <c r="BM31" s="323"/>
      <c r="BN31" s="322"/>
      <c r="BO31" s="323"/>
      <c r="BP31" s="323"/>
      <c r="BQ31" s="323"/>
      <c r="BR31" s="323"/>
      <c r="BS31" s="322"/>
      <c r="BT31" s="323"/>
      <c r="BU31" s="323"/>
      <c r="BV31" s="323"/>
      <c r="BW31" s="323"/>
      <c r="BX31" s="356"/>
      <c r="BZ31" s="10"/>
      <c r="CF31" s="435"/>
    </row>
    <row r="32" spans="4:84" s="10" customFormat="1" x14ac:dyDescent="0.2">
      <c r="D32" s="79" t="s">
        <v>498</v>
      </c>
      <c r="E32" s="72" t="s">
        <v>87</v>
      </c>
      <c r="F32" s="156"/>
      <c r="G32" s="275"/>
      <c r="H32" s="325">
        <f>SUM(H33:H34)</f>
        <v>0</v>
      </c>
      <c r="I32" s="275"/>
      <c r="J32" s="275"/>
      <c r="K32" s="274"/>
      <c r="L32" s="275"/>
      <c r="M32" s="275">
        <f>SUM(M33:M34)</f>
        <v>0</v>
      </c>
      <c r="N32" s="275"/>
      <c r="O32" s="275"/>
      <c r="P32" s="274"/>
      <c r="Q32" s="275"/>
      <c r="R32" s="275">
        <f>SUM(R33:R34)</f>
        <v>0</v>
      </c>
      <c r="S32" s="275"/>
      <c r="T32" s="275"/>
      <c r="U32" s="274"/>
      <c r="V32" s="275"/>
      <c r="W32" s="275">
        <f>SUM(W33:W34)</f>
        <v>0</v>
      </c>
      <c r="X32" s="275"/>
      <c r="Y32" s="275"/>
      <c r="Z32" s="274"/>
      <c r="AA32" s="275"/>
      <c r="AB32" s="275">
        <f>SUM(AB33:AB34)</f>
        <v>-22185</v>
      </c>
      <c r="AC32" s="275"/>
      <c r="AD32" s="275"/>
      <c r="AE32" s="274"/>
      <c r="AF32" s="275"/>
      <c r="AG32" s="275">
        <f>SUM(AG33:AG34)</f>
        <v>0</v>
      </c>
      <c r="AH32" s="275"/>
      <c r="AI32" s="275"/>
      <c r="AJ32" s="274"/>
      <c r="AK32" s="275"/>
      <c r="AL32" s="275">
        <f>SUM(AL33:AL34)</f>
        <v>0</v>
      </c>
      <c r="AM32" s="275"/>
      <c r="AN32" s="275"/>
      <c r="AO32" s="274"/>
      <c r="AP32" s="275"/>
      <c r="AQ32" s="275">
        <f>SUM(AQ33:AQ34)</f>
        <v>0</v>
      </c>
      <c r="AR32" s="275"/>
      <c r="AS32" s="275"/>
      <c r="AT32" s="274"/>
      <c r="AU32" s="275"/>
      <c r="AV32" s="275">
        <f>SUM(AV33:AV34)</f>
        <v>0</v>
      </c>
      <c r="AW32" s="275"/>
      <c r="AX32" s="275"/>
      <c r="AY32" s="274"/>
      <c r="AZ32" s="275"/>
      <c r="BA32" s="275">
        <f>SUM(BA33:BA34)</f>
        <v>0</v>
      </c>
      <c r="BB32" s="275"/>
      <c r="BC32" s="275"/>
      <c r="BD32" s="274"/>
      <c r="BE32" s="275"/>
      <c r="BF32" s="275">
        <f>SUM(BF33:BF34)</f>
        <v>0</v>
      </c>
      <c r="BG32" s="275"/>
      <c r="BH32" s="275"/>
      <c r="BI32" s="274"/>
      <c r="BJ32" s="275"/>
      <c r="BK32" s="275">
        <f>SUM(BK33:BK34)</f>
        <v>0</v>
      </c>
      <c r="BL32" s="275"/>
      <c r="BM32" s="275"/>
      <c r="BN32" s="274"/>
      <c r="BO32" s="275"/>
      <c r="BP32" s="275">
        <f>SUM(BP33:BP34)</f>
        <v>0</v>
      </c>
      <c r="BQ32" s="325"/>
      <c r="BR32" s="325"/>
      <c r="BS32" s="324"/>
      <c r="BT32" s="275"/>
      <c r="BU32" s="325">
        <f>SUM(BU33:BU34)</f>
        <v>-22185</v>
      </c>
      <c r="BV32" s="275"/>
      <c r="BW32" s="325"/>
      <c r="BX32" s="388"/>
    </row>
    <row r="33" spans="4:78" s="10" customFormat="1" x14ac:dyDescent="0.2">
      <c r="D33" s="431" t="s">
        <v>499</v>
      </c>
      <c r="E33" s="115"/>
      <c r="F33" s="147"/>
      <c r="G33" s="432"/>
      <c r="H33" s="433">
        <v>0</v>
      </c>
      <c r="I33" s="433"/>
      <c r="J33" s="434"/>
      <c r="K33" s="434"/>
      <c r="L33" s="433"/>
      <c r="M33" s="433">
        <v>0</v>
      </c>
      <c r="N33" s="433"/>
      <c r="O33" s="434"/>
      <c r="P33" s="434"/>
      <c r="Q33" s="433"/>
      <c r="R33" s="433">
        <v>0</v>
      </c>
      <c r="S33" s="433"/>
      <c r="T33" s="434"/>
      <c r="U33" s="434"/>
      <c r="V33" s="433"/>
      <c r="W33" s="433">
        <v>0</v>
      </c>
      <c r="X33" s="433"/>
      <c r="Y33" s="434"/>
      <c r="Z33" s="434"/>
      <c r="AA33" s="433"/>
      <c r="AB33" s="433">
        <v>-22185</v>
      </c>
      <c r="AC33" s="433"/>
      <c r="AD33" s="434"/>
      <c r="AE33" s="434"/>
      <c r="AF33" s="433"/>
      <c r="AG33" s="433">
        <v>0</v>
      </c>
      <c r="AH33" s="433"/>
      <c r="AI33" s="434"/>
      <c r="AJ33" s="434"/>
      <c r="AK33" s="433"/>
      <c r="AL33" s="433">
        <v>0</v>
      </c>
      <c r="AM33" s="433"/>
      <c r="AN33" s="434"/>
      <c r="AO33" s="434"/>
      <c r="AP33" s="433"/>
      <c r="AQ33" s="433">
        <v>0</v>
      </c>
      <c r="AR33" s="433"/>
      <c r="AS33" s="434"/>
      <c r="AT33" s="434"/>
      <c r="AU33" s="433"/>
      <c r="AV33" s="433">
        <v>0</v>
      </c>
      <c r="AW33" s="433"/>
      <c r="AX33" s="434"/>
      <c r="AY33" s="434"/>
      <c r="AZ33" s="433"/>
      <c r="BA33" s="433">
        <v>0</v>
      </c>
      <c r="BB33" s="379"/>
      <c r="BC33" s="434"/>
      <c r="BD33" s="434"/>
      <c r="BE33" s="379"/>
      <c r="BF33" s="433">
        <v>0</v>
      </c>
      <c r="BG33" s="433"/>
      <c r="BH33" s="434"/>
      <c r="BI33" s="434"/>
      <c r="BJ33" s="433"/>
      <c r="BK33" s="433">
        <v>0</v>
      </c>
      <c r="BL33" s="433"/>
      <c r="BM33" s="434"/>
      <c r="BN33" s="434"/>
      <c r="BO33" s="433"/>
      <c r="BP33" s="433">
        <v>0</v>
      </c>
      <c r="BQ33" s="433"/>
      <c r="BR33" s="434"/>
      <c r="BS33" s="434"/>
      <c r="BT33" s="433"/>
      <c r="BU33" s="433">
        <f>SUM(M33:BP33)</f>
        <v>-22185</v>
      </c>
      <c r="BV33" s="433"/>
      <c r="BW33" s="434"/>
      <c r="BX33" s="418"/>
    </row>
    <row r="34" spans="4:78" hidden="1" x14ac:dyDescent="0.2">
      <c r="D34" s="171" t="s">
        <v>497</v>
      </c>
      <c r="F34" s="156"/>
      <c r="G34" s="320"/>
      <c r="H34" s="427">
        <v>0</v>
      </c>
      <c r="I34" s="428"/>
      <c r="J34" s="269"/>
      <c r="K34" s="268"/>
      <c r="L34" s="320"/>
      <c r="M34" s="427">
        <v>0</v>
      </c>
      <c r="N34" s="428"/>
      <c r="O34" s="269"/>
      <c r="P34" s="268"/>
      <c r="Q34" s="429"/>
      <c r="R34" s="427">
        <v>0</v>
      </c>
      <c r="S34" s="428"/>
      <c r="T34" s="269"/>
      <c r="U34" s="268"/>
      <c r="V34" s="429"/>
      <c r="W34" s="427">
        <v>0</v>
      </c>
      <c r="X34" s="428"/>
      <c r="Y34" s="269"/>
      <c r="Z34" s="268"/>
      <c r="AA34" s="429"/>
      <c r="AB34" s="427">
        <v>0</v>
      </c>
      <c r="AC34" s="428"/>
      <c r="AD34" s="269"/>
      <c r="AE34" s="268"/>
      <c r="AF34" s="429"/>
      <c r="AG34" s="427">
        <v>0</v>
      </c>
      <c r="AH34" s="428"/>
      <c r="AI34" s="269"/>
      <c r="AJ34" s="268"/>
      <c r="AK34" s="429"/>
      <c r="AL34" s="427">
        <v>0</v>
      </c>
      <c r="AM34" s="428"/>
      <c r="AN34" s="269"/>
      <c r="AO34" s="268"/>
      <c r="AP34" s="429"/>
      <c r="AQ34" s="427">
        <v>0</v>
      </c>
      <c r="AR34" s="428"/>
      <c r="AS34" s="269"/>
      <c r="AT34" s="268"/>
      <c r="AU34" s="429"/>
      <c r="AV34" s="427">
        <v>0</v>
      </c>
      <c r="AW34" s="428"/>
      <c r="AX34" s="269"/>
      <c r="AY34" s="268"/>
      <c r="AZ34" s="429"/>
      <c r="BA34" s="427">
        <v>0</v>
      </c>
      <c r="BB34" s="428"/>
      <c r="BC34" s="269"/>
      <c r="BD34" s="268"/>
      <c r="BE34" s="429"/>
      <c r="BF34" s="427">
        <v>0</v>
      </c>
      <c r="BG34" s="428"/>
      <c r="BH34" s="269"/>
      <c r="BI34" s="268"/>
      <c r="BJ34" s="429"/>
      <c r="BK34" s="427">
        <v>0</v>
      </c>
      <c r="BL34" s="428"/>
      <c r="BM34" s="269"/>
      <c r="BN34" s="268"/>
      <c r="BO34" s="429"/>
      <c r="BP34" s="427">
        <v>0</v>
      </c>
      <c r="BQ34" s="428"/>
      <c r="BR34" s="323"/>
      <c r="BS34" s="322"/>
      <c r="BT34" s="320"/>
      <c r="BU34" s="427">
        <f>SUM(M34:BP34)</f>
        <v>0</v>
      </c>
      <c r="BV34" s="428"/>
      <c r="BW34" s="323"/>
      <c r="BX34" s="356"/>
      <c r="BZ34" s="10"/>
    </row>
    <row r="35" spans="4:78" x14ac:dyDescent="0.2">
      <c r="D35" s="9"/>
      <c r="F35" s="156"/>
      <c r="H35" s="269"/>
      <c r="I35" s="269"/>
      <c r="J35" s="269"/>
      <c r="K35" s="268"/>
      <c r="L35" s="269"/>
      <c r="M35" s="269"/>
      <c r="N35" s="269"/>
      <c r="O35" s="269"/>
      <c r="P35" s="268"/>
      <c r="Q35" s="269"/>
      <c r="R35" s="269"/>
      <c r="S35" s="269"/>
      <c r="T35" s="269"/>
      <c r="U35" s="268"/>
      <c r="V35" s="269"/>
      <c r="W35" s="269"/>
      <c r="X35" s="269"/>
      <c r="Y35" s="269"/>
      <c r="Z35" s="268"/>
      <c r="AA35" s="269"/>
      <c r="AB35" s="269"/>
      <c r="AC35" s="269"/>
      <c r="AD35" s="269"/>
      <c r="AE35" s="268"/>
      <c r="AF35" s="269"/>
      <c r="AG35" s="269"/>
      <c r="AH35" s="269"/>
      <c r="AI35" s="269"/>
      <c r="AJ35" s="268"/>
      <c r="AK35" s="269"/>
      <c r="AL35" s="269"/>
      <c r="AM35" s="269"/>
      <c r="AN35" s="269"/>
      <c r="AO35" s="268"/>
      <c r="AP35" s="269"/>
      <c r="AQ35" s="269"/>
      <c r="AR35" s="269"/>
      <c r="AS35" s="269"/>
      <c r="AT35" s="268"/>
      <c r="AU35" s="269"/>
      <c r="AV35" s="269"/>
      <c r="AW35" s="419"/>
      <c r="AX35" s="269"/>
      <c r="AY35" s="268"/>
      <c r="AZ35" s="269"/>
      <c r="BA35" s="269"/>
      <c r="BB35" s="269"/>
      <c r="BC35" s="269"/>
      <c r="BD35" s="268"/>
      <c r="BE35" s="269"/>
      <c r="BF35" s="269"/>
      <c r="BG35" s="269"/>
      <c r="BH35" s="269"/>
      <c r="BI35" s="268"/>
      <c r="BJ35" s="269"/>
      <c r="BK35" s="269"/>
      <c r="BL35" s="269"/>
      <c r="BM35" s="269"/>
      <c r="BN35" s="268"/>
      <c r="BO35" s="419"/>
      <c r="BP35" s="269"/>
      <c r="BQ35" s="419"/>
      <c r="BR35" s="269"/>
      <c r="BS35" s="268"/>
      <c r="BT35" s="269"/>
      <c r="BU35" s="269"/>
      <c r="BV35" s="269"/>
      <c r="BW35" s="269"/>
      <c r="BX35" s="422"/>
      <c r="BZ35" s="10"/>
    </row>
    <row r="36" spans="4:78" x14ac:dyDescent="0.2">
      <c r="D36" s="9"/>
      <c r="F36" s="156"/>
      <c r="H36" s="323"/>
      <c r="I36" s="323"/>
      <c r="J36" s="323"/>
      <c r="K36" s="322"/>
      <c r="L36" s="323"/>
      <c r="M36" s="323"/>
      <c r="N36" s="323"/>
      <c r="O36" s="323"/>
      <c r="P36" s="322"/>
      <c r="Q36" s="323"/>
      <c r="R36" s="323"/>
      <c r="S36" s="323"/>
      <c r="T36" s="323"/>
      <c r="U36" s="322"/>
      <c r="V36" s="323"/>
      <c r="W36" s="323"/>
      <c r="X36" s="323"/>
      <c r="Y36" s="323"/>
      <c r="Z36" s="322"/>
      <c r="AA36" s="323"/>
      <c r="AB36" s="323"/>
      <c r="AC36" s="323"/>
      <c r="AD36" s="323"/>
      <c r="AE36" s="322"/>
      <c r="AF36" s="323"/>
      <c r="AG36" s="323"/>
      <c r="AH36" s="323"/>
      <c r="AI36" s="323"/>
      <c r="AJ36" s="322"/>
      <c r="AK36" s="323"/>
      <c r="AL36" s="323"/>
      <c r="AM36" s="323"/>
      <c r="AN36" s="323"/>
      <c r="AO36" s="322"/>
      <c r="AP36" s="323"/>
      <c r="AQ36" s="323"/>
      <c r="AR36" s="323"/>
      <c r="AS36" s="323"/>
      <c r="AT36" s="322"/>
      <c r="AU36" s="323"/>
      <c r="AV36" s="323"/>
      <c r="AW36" s="323"/>
      <c r="AX36" s="323"/>
      <c r="AY36" s="322"/>
      <c r="AZ36" s="323"/>
      <c r="BA36" s="323"/>
      <c r="BB36" s="323"/>
      <c r="BC36" s="323"/>
      <c r="BD36" s="322"/>
      <c r="BE36" s="323"/>
      <c r="BF36" s="323"/>
      <c r="BG36" s="323"/>
      <c r="BH36" s="323"/>
      <c r="BI36" s="322"/>
      <c r="BJ36" s="323"/>
      <c r="BK36" s="323"/>
      <c r="BL36" s="323"/>
      <c r="BM36" s="323"/>
      <c r="BN36" s="322"/>
      <c r="BO36" s="323"/>
      <c r="BP36" s="323"/>
      <c r="BQ36" s="323"/>
      <c r="BR36" s="323"/>
      <c r="BS36" s="322"/>
      <c r="BT36" s="323"/>
      <c r="BU36" s="323"/>
      <c r="BV36" s="323"/>
      <c r="BW36" s="323"/>
      <c r="BX36" s="356"/>
      <c r="BZ36" s="10"/>
    </row>
    <row r="37" spans="4:78" s="10" customFormat="1" hidden="1" x14ac:dyDescent="0.2">
      <c r="D37" s="79"/>
      <c r="E37" s="115"/>
      <c r="F37" s="145"/>
      <c r="H37" s="275"/>
      <c r="I37" s="275"/>
      <c r="J37" s="275"/>
      <c r="K37" s="274"/>
      <c r="L37" s="275"/>
      <c r="M37" s="275"/>
      <c r="N37" s="275"/>
      <c r="O37" s="275"/>
      <c r="P37" s="274"/>
      <c r="Q37" s="275"/>
      <c r="R37" s="275"/>
      <c r="S37" s="275"/>
      <c r="T37" s="275"/>
      <c r="U37" s="274"/>
      <c r="V37" s="275"/>
      <c r="W37" s="275"/>
      <c r="X37" s="275"/>
      <c r="Y37" s="275"/>
      <c r="Z37" s="274"/>
      <c r="AA37" s="275"/>
      <c r="AB37" s="275"/>
      <c r="AC37" s="275"/>
      <c r="AD37" s="275"/>
      <c r="AE37" s="274"/>
      <c r="AF37" s="275"/>
      <c r="AG37" s="275"/>
      <c r="AH37" s="275"/>
      <c r="AI37" s="275"/>
      <c r="AJ37" s="274"/>
      <c r="AK37" s="275"/>
      <c r="AL37" s="275"/>
      <c r="AM37" s="275"/>
      <c r="AN37" s="275"/>
      <c r="AO37" s="274"/>
      <c r="AP37" s="275"/>
      <c r="AQ37" s="275"/>
      <c r="AR37" s="275"/>
      <c r="AS37" s="275"/>
      <c r="AT37" s="274"/>
      <c r="AU37" s="275"/>
      <c r="AV37" s="275"/>
      <c r="AW37" s="275"/>
      <c r="AX37" s="275"/>
      <c r="AY37" s="274"/>
      <c r="AZ37" s="275"/>
      <c r="BA37" s="275"/>
      <c r="BB37" s="275"/>
      <c r="BC37" s="275"/>
      <c r="BD37" s="274"/>
      <c r="BE37" s="275"/>
      <c r="BF37" s="275"/>
      <c r="BG37" s="275"/>
      <c r="BH37" s="275"/>
      <c r="BI37" s="274"/>
      <c r="BJ37" s="275"/>
      <c r="BK37" s="275"/>
      <c r="BL37" s="275"/>
      <c r="BM37" s="275"/>
      <c r="BN37" s="274"/>
      <c r="BO37" s="275"/>
      <c r="BP37" s="275"/>
      <c r="BQ37" s="275"/>
      <c r="BR37" s="275"/>
      <c r="BS37" s="274"/>
      <c r="BT37" s="275"/>
      <c r="BU37" s="275"/>
      <c r="BV37" s="275"/>
      <c r="BW37" s="275"/>
      <c r="BX37" s="418"/>
    </row>
    <row r="38" spans="4:78" s="10" customFormat="1" x14ac:dyDescent="0.2">
      <c r="D38" s="79" t="s">
        <v>500</v>
      </c>
      <c r="E38" s="115"/>
      <c r="F38" s="147"/>
      <c r="G38" s="432"/>
      <c r="H38" s="436">
        <v>0</v>
      </c>
      <c r="I38" s="436"/>
      <c r="J38" s="437"/>
      <c r="K38" s="437"/>
      <c r="L38" s="436"/>
      <c r="M38" s="436">
        <f>-[55]original!$F$82</f>
        <v>-34158767.953769997</v>
      </c>
      <c r="N38" s="436"/>
      <c r="O38" s="437"/>
      <c r="P38" s="437"/>
      <c r="Q38" s="436"/>
      <c r="R38" s="436">
        <f>-[56]original!$G$82</f>
        <v>665778.1075699823</v>
      </c>
      <c r="S38" s="436"/>
      <c r="T38" s="437"/>
      <c r="U38" s="437"/>
      <c r="V38" s="436"/>
      <c r="W38" s="436">
        <f>-[57]original!$H$82</f>
        <v>-3529360.3766400218</v>
      </c>
      <c r="X38" s="436"/>
      <c r="Y38" s="437"/>
      <c r="Z38" s="437"/>
      <c r="AA38" s="436"/>
      <c r="AB38" s="436">
        <f>-[58]original!$I$82</f>
        <v>39129472.039829999</v>
      </c>
      <c r="AC38" s="436"/>
      <c r="AD38" s="437"/>
      <c r="AE38" s="437"/>
      <c r="AF38" s="436"/>
      <c r="AG38" s="436">
        <f>-[59]original!$J$82</f>
        <v>-36409361.543499991</v>
      </c>
      <c r="AH38" s="436"/>
      <c r="AI38" s="437"/>
      <c r="AJ38" s="437"/>
      <c r="AK38" s="436"/>
      <c r="AL38" s="436">
        <f>-[60]original!$K$82</f>
        <v>10350561.970830038</v>
      </c>
      <c r="AM38" s="436"/>
      <c r="AN38" s="437"/>
      <c r="AO38" s="437"/>
      <c r="AP38" s="436"/>
      <c r="AQ38" s="436">
        <f>-[61]original!$L$82</f>
        <v>-13234789.152860001</v>
      </c>
      <c r="AR38" s="436"/>
      <c r="AS38" s="437"/>
      <c r="AT38" s="437"/>
      <c r="AU38" s="436"/>
      <c r="AV38" s="436">
        <f>-[62]original!$M$82</f>
        <v>-507485.77358999848</v>
      </c>
      <c r="AW38" s="436"/>
      <c r="AX38" s="437"/>
      <c r="AY38" s="437"/>
      <c r="AZ38" s="436"/>
      <c r="BA38" s="436">
        <f>-[63]original!$N$82</f>
        <v>5933754.2305000126</v>
      </c>
      <c r="BB38" s="438"/>
      <c r="BC38" s="437"/>
      <c r="BD38" s="437"/>
      <c r="BE38" s="438"/>
      <c r="BF38" s="436">
        <f>-[64]original!$O$82</f>
        <v>-33766452.223689988</v>
      </c>
      <c r="BG38" s="436"/>
      <c r="BH38" s="437"/>
      <c r="BI38" s="437"/>
      <c r="BJ38" s="436"/>
      <c r="BK38" s="436">
        <v>0</v>
      </c>
      <c r="BL38" s="436"/>
      <c r="BM38" s="437"/>
      <c r="BN38" s="437"/>
      <c r="BO38" s="436"/>
      <c r="BP38" s="436">
        <v>0</v>
      </c>
      <c r="BQ38" s="436"/>
      <c r="BR38" s="437"/>
      <c r="BS38" s="437"/>
      <c r="BT38" s="436"/>
      <c r="BU38" s="436">
        <f>SUM(M38:BP38)</f>
        <v>-65526650.67531997</v>
      </c>
      <c r="BV38" s="436"/>
      <c r="BW38" s="437"/>
      <c r="BX38" s="418"/>
    </row>
    <row r="39" spans="4:78" x14ac:dyDescent="0.2">
      <c r="D39" s="9"/>
      <c r="E39" s="128"/>
      <c r="F39" s="156"/>
      <c r="H39" s="269"/>
      <c r="I39" s="269"/>
      <c r="J39" s="269"/>
      <c r="K39" s="268"/>
      <c r="L39" s="269"/>
      <c r="M39" s="269"/>
      <c r="N39" s="269"/>
      <c r="O39" s="269"/>
      <c r="P39" s="268"/>
      <c r="Q39" s="269"/>
      <c r="R39" s="269"/>
      <c r="S39" s="269"/>
      <c r="T39" s="269"/>
      <c r="U39" s="268"/>
      <c r="V39" s="269"/>
      <c r="W39" s="269"/>
      <c r="X39" s="269"/>
      <c r="Y39" s="269"/>
      <c r="Z39" s="268"/>
      <c r="AA39" s="269"/>
      <c r="AB39" s="269"/>
      <c r="AC39" s="269"/>
      <c r="AD39" s="269"/>
      <c r="AE39" s="268"/>
      <c r="AF39" s="269"/>
      <c r="AG39" s="269"/>
      <c r="AH39" s="269"/>
      <c r="AI39" s="269"/>
      <c r="AJ39" s="268"/>
      <c r="AK39" s="269"/>
      <c r="AL39" s="269"/>
      <c r="AM39" s="269"/>
      <c r="AN39" s="269"/>
      <c r="AO39" s="268"/>
      <c r="AP39" s="269"/>
      <c r="AQ39" s="269"/>
      <c r="AR39" s="269"/>
      <c r="AS39" s="269"/>
      <c r="AT39" s="268"/>
      <c r="AU39" s="269"/>
      <c r="AV39" s="269"/>
      <c r="AW39" s="269"/>
      <c r="AX39" s="269"/>
      <c r="AY39" s="268"/>
      <c r="AZ39" s="269"/>
      <c r="BA39" s="269"/>
      <c r="BB39" s="269"/>
      <c r="BC39" s="269"/>
      <c r="BD39" s="268"/>
      <c r="BE39" s="269"/>
      <c r="BF39" s="269"/>
      <c r="BG39" s="269"/>
      <c r="BH39" s="269"/>
      <c r="BI39" s="268"/>
      <c r="BJ39" s="269"/>
      <c r="BK39" s="269"/>
      <c r="BL39" s="269"/>
      <c r="BM39" s="269"/>
      <c r="BN39" s="268"/>
      <c r="BO39" s="269"/>
      <c r="BP39" s="269"/>
      <c r="BQ39" s="269"/>
      <c r="BR39" s="269"/>
      <c r="BS39" s="268"/>
      <c r="BT39" s="269"/>
      <c r="BU39" s="269"/>
      <c r="BV39" s="269"/>
      <c r="BW39" s="269"/>
      <c r="BX39" s="422"/>
      <c r="BZ39" s="10"/>
    </row>
    <row r="40" spans="4:78" s="10" customFormat="1" x14ac:dyDescent="0.2">
      <c r="D40" s="130" t="s">
        <v>501</v>
      </c>
      <c r="E40" s="439" t="s">
        <v>57</v>
      </c>
      <c r="F40" s="164"/>
      <c r="G40" s="91"/>
      <c r="H40" s="282">
        <f>+H12+H38+H32+H27+H23</f>
        <v>47835711.668461092</v>
      </c>
      <c r="I40" s="282"/>
      <c r="J40" s="282"/>
      <c r="K40" s="281"/>
      <c r="L40" s="282"/>
      <c r="M40" s="282">
        <f>+M12+M38+M32+M27+M23</f>
        <v>-18499278.953769997</v>
      </c>
      <c r="N40" s="282"/>
      <c r="O40" s="282"/>
      <c r="P40" s="281"/>
      <c r="Q40" s="282"/>
      <c r="R40" s="282">
        <f>+R12+R38+R32+R27+R23</f>
        <v>537410.36356998235</v>
      </c>
      <c r="S40" s="282"/>
      <c r="T40" s="282"/>
      <c r="U40" s="281"/>
      <c r="V40" s="282"/>
      <c r="W40" s="282">
        <f>+W12+W38+W32+W27+W23</f>
        <v>-23974845.376640022</v>
      </c>
      <c r="X40" s="282"/>
      <c r="Y40" s="282"/>
      <c r="Z40" s="281"/>
      <c r="AA40" s="282"/>
      <c r="AB40" s="282">
        <f>+AB12+AB38+AB32+AB27+AB23</f>
        <v>-39272434.960170001</v>
      </c>
      <c r="AC40" s="282"/>
      <c r="AD40" s="282"/>
      <c r="AE40" s="281"/>
      <c r="AF40" s="282"/>
      <c r="AG40" s="282">
        <f>+AG12+AG38+AG32+AG27+AG23</f>
        <v>32418642.456500009</v>
      </c>
      <c r="AH40" s="282"/>
      <c r="AI40" s="282"/>
      <c r="AJ40" s="281"/>
      <c r="AK40" s="282"/>
      <c r="AL40" s="282">
        <f>+AL12+AL38+AL32+AL27+AL23</f>
        <v>-8875713.0291699618</v>
      </c>
      <c r="AM40" s="282"/>
      <c r="AN40" s="282"/>
      <c r="AO40" s="281"/>
      <c r="AP40" s="282"/>
      <c r="AQ40" s="282">
        <f>+AQ12+AQ38+AQ32+AQ27+AQ23</f>
        <v>-36949546.152860001</v>
      </c>
      <c r="AR40" s="282"/>
      <c r="AS40" s="282"/>
      <c r="AT40" s="281"/>
      <c r="AU40" s="282"/>
      <c r="AV40" s="282">
        <f>+AV12+AV38+AV32+AV27+AV23</f>
        <v>-18096631.773589998</v>
      </c>
      <c r="AW40" s="282"/>
      <c r="AX40" s="282"/>
      <c r="AY40" s="281"/>
      <c r="AZ40" s="282"/>
      <c r="BA40" s="282">
        <f>+BA12+BA38+BA32+BA27+BA23</f>
        <v>-17747258.769499987</v>
      </c>
      <c r="BB40" s="282"/>
      <c r="BC40" s="282"/>
      <c r="BD40" s="281"/>
      <c r="BE40" s="282"/>
      <c r="BF40" s="282">
        <f>+BF12+BF23+BF25+BF27+BF32+BF38</f>
        <v>25860728.776310012</v>
      </c>
      <c r="BG40" s="282"/>
      <c r="BH40" s="282"/>
      <c r="BI40" s="281"/>
      <c r="BJ40" s="282"/>
      <c r="BK40" s="282">
        <f>+BK12+BK38+BK32+BK27+BK23</f>
        <v>378365248</v>
      </c>
      <c r="BL40" s="282"/>
      <c r="BM40" s="282"/>
      <c r="BN40" s="281"/>
      <c r="BO40" s="282"/>
      <c r="BP40" s="282">
        <f>+BP12+BP38+BP32+BP27+BP23</f>
        <v>0</v>
      </c>
      <c r="BQ40" s="282"/>
      <c r="BR40" s="282"/>
      <c r="BS40" s="281"/>
      <c r="BT40" s="282"/>
      <c r="BU40" s="282">
        <f>+BU12+BU23+BU25+BU27+BU32+BU38</f>
        <v>-104598927.41931997</v>
      </c>
      <c r="BV40" s="282"/>
      <c r="BW40" s="282"/>
      <c r="BX40" s="418"/>
    </row>
    <row r="41" spans="4:78" x14ac:dyDescent="0.2">
      <c r="D41" s="635" t="s">
        <v>502</v>
      </c>
      <c r="E41" s="635"/>
      <c r="F41" s="635"/>
      <c r="G41" s="635"/>
      <c r="H41" s="635"/>
      <c r="I41" s="635"/>
      <c r="J41" s="635"/>
      <c r="K41" s="635"/>
      <c r="L41" s="635"/>
      <c r="M41" s="635"/>
      <c r="N41" s="635"/>
      <c r="O41" s="635"/>
      <c r="P41" s="635"/>
      <c r="Q41" s="635"/>
      <c r="R41" s="635"/>
      <c r="S41" s="635"/>
      <c r="T41" s="635"/>
      <c r="U41" s="635"/>
      <c r="V41" s="635"/>
      <c r="W41" s="635"/>
      <c r="X41" s="635"/>
      <c r="Y41" s="635"/>
      <c r="Z41" s="635"/>
      <c r="AA41" s="635"/>
      <c r="AB41" s="635"/>
      <c r="AC41" s="635"/>
      <c r="AD41" s="635"/>
      <c r="AE41" s="635"/>
      <c r="AF41" s="635"/>
      <c r="AG41" s="635"/>
      <c r="AH41" s="635"/>
      <c r="AI41" s="635"/>
      <c r="AJ41" s="635"/>
      <c r="AK41" s="635"/>
      <c r="AL41" s="635"/>
      <c r="AM41" s="635"/>
      <c r="AN41" s="635"/>
      <c r="AO41" s="635"/>
      <c r="AP41" s="635"/>
      <c r="AQ41" s="635"/>
      <c r="AR41" s="635"/>
      <c r="AS41" s="635"/>
      <c r="AT41" s="635"/>
      <c r="AU41" s="635"/>
      <c r="AV41" s="635"/>
      <c r="AW41" s="635"/>
      <c r="AX41" s="635"/>
      <c r="AY41" s="635"/>
      <c r="AZ41" s="635"/>
      <c r="BA41" s="635"/>
      <c r="BB41" s="635"/>
      <c r="BC41" s="635"/>
      <c r="BD41" s="635"/>
      <c r="BE41" s="635"/>
      <c r="BF41" s="635"/>
      <c r="BG41" s="635"/>
      <c r="BH41" s="635"/>
      <c r="BI41" s="635"/>
      <c r="BJ41" s="635"/>
      <c r="BK41" s="635"/>
      <c r="BL41" s="635"/>
      <c r="BM41" s="635"/>
      <c r="BN41" s="635"/>
      <c r="BO41" s="635"/>
      <c r="BP41" s="635"/>
      <c r="BQ41" s="635"/>
      <c r="BR41" s="635"/>
      <c r="BS41" s="635"/>
      <c r="BT41" s="635"/>
      <c r="BU41" s="635"/>
      <c r="BV41" s="5"/>
      <c r="BW41" s="5"/>
    </row>
    <row r="42" spans="4:78" hidden="1" x14ac:dyDescent="0.2">
      <c r="D42" s="440" t="s">
        <v>503</v>
      </c>
    </row>
    <row r="43" spans="4:78" hidden="1" x14ac:dyDescent="0.2">
      <c r="D43" s="440" t="s">
        <v>504</v>
      </c>
    </row>
    <row r="44" spans="4:78" hidden="1" x14ac:dyDescent="0.2">
      <c r="D44" s="440" t="s">
        <v>505</v>
      </c>
    </row>
    <row r="45" spans="4:78" hidden="1" x14ac:dyDescent="0.2">
      <c r="D45" s="440" t="s">
        <v>506</v>
      </c>
    </row>
    <row r="46" spans="4:78" x14ac:dyDescent="0.2">
      <c r="D46" s="440" t="s">
        <v>507</v>
      </c>
    </row>
    <row r="47" spans="4:78" x14ac:dyDescent="0.2">
      <c r="D47" s="440" t="s">
        <v>508</v>
      </c>
      <c r="E47" s="441"/>
      <c r="F47" s="440"/>
      <c r="G47" s="440"/>
    </row>
    <row r="48" spans="4:78" x14ac:dyDescent="0.2">
      <c r="E48" s="441"/>
      <c r="F48" s="440"/>
      <c r="G48" s="440"/>
      <c r="M48" s="442"/>
    </row>
    <row r="49" spans="4:73" x14ac:dyDescent="0.2">
      <c r="E49" s="441"/>
      <c r="F49" s="440"/>
      <c r="G49" s="440"/>
    </row>
    <row r="50" spans="4:73" hidden="1" x14ac:dyDescent="0.2"/>
    <row r="51" spans="4:73" hidden="1" x14ac:dyDescent="0.2"/>
    <row r="52" spans="4:73" hidden="1" x14ac:dyDescent="0.2"/>
    <row r="53" spans="4:73" hidden="1" x14ac:dyDescent="0.2">
      <c r="D53" s="443"/>
      <c r="M53" s="1" t="e">
        <f>M12-#REF!</f>
        <v>#REF!</v>
      </c>
      <c r="N53" s="1" t="e">
        <f>N12-#REF!</f>
        <v>#REF!</v>
      </c>
      <c r="O53" s="1" t="e">
        <f>O12-#REF!</f>
        <v>#REF!</v>
      </c>
      <c r="P53" s="1" t="e">
        <f>P12-#REF!</f>
        <v>#REF!</v>
      </c>
      <c r="Q53" s="1" t="e">
        <f>Q12-#REF!</f>
        <v>#REF!</v>
      </c>
      <c r="R53" s="1" t="e">
        <f>R12-#REF!</f>
        <v>#REF!</v>
      </c>
      <c r="S53" s="1" t="e">
        <f>S12-#REF!</f>
        <v>#REF!</v>
      </c>
      <c r="T53" s="1" t="e">
        <f>T12-#REF!</f>
        <v>#REF!</v>
      </c>
      <c r="U53" s="1" t="e">
        <f>U12-#REF!</f>
        <v>#REF!</v>
      </c>
      <c r="V53" s="1" t="e">
        <f>V12-#REF!</f>
        <v>#REF!</v>
      </c>
      <c r="W53" s="1" t="e">
        <f>W12-#REF!</f>
        <v>#REF!</v>
      </c>
      <c r="X53" s="1" t="e">
        <f>X12-#REF!</f>
        <v>#REF!</v>
      </c>
      <c r="Y53" s="1" t="e">
        <f>Y12-#REF!</f>
        <v>#REF!</v>
      </c>
      <c r="Z53" s="1" t="e">
        <f>Z12-#REF!</f>
        <v>#REF!</v>
      </c>
      <c r="AA53" s="1" t="e">
        <f>AA12-#REF!</f>
        <v>#REF!</v>
      </c>
      <c r="AB53" s="1" t="e">
        <f>AB12-#REF!</f>
        <v>#REF!</v>
      </c>
      <c r="AC53" s="1" t="e">
        <f>AC12-#REF!</f>
        <v>#REF!</v>
      </c>
      <c r="AD53" s="1" t="e">
        <f>AD12-#REF!</f>
        <v>#REF!</v>
      </c>
      <c r="AE53" s="1" t="e">
        <f>AE12-#REF!</f>
        <v>#REF!</v>
      </c>
      <c r="AF53" s="1" t="e">
        <f>AF12-#REF!</f>
        <v>#REF!</v>
      </c>
      <c r="AG53" s="1" t="e">
        <f>AG12-#REF!</f>
        <v>#REF!</v>
      </c>
      <c r="AH53" s="1" t="e">
        <f>AH12-#REF!</f>
        <v>#REF!</v>
      </c>
      <c r="AI53" s="1" t="e">
        <f>AI12-#REF!</f>
        <v>#REF!</v>
      </c>
      <c r="AJ53" s="1" t="e">
        <f>AJ12-#REF!</f>
        <v>#REF!</v>
      </c>
      <c r="AK53" s="1" t="e">
        <f>AK12-#REF!</f>
        <v>#REF!</v>
      </c>
      <c r="AL53" s="1" t="e">
        <f>AL12-#REF!</f>
        <v>#REF!</v>
      </c>
      <c r="AM53" s="1" t="e">
        <f>AM12-#REF!</f>
        <v>#REF!</v>
      </c>
      <c r="AN53" s="1" t="e">
        <f>AN12-#REF!</f>
        <v>#REF!</v>
      </c>
      <c r="AO53" s="1" t="e">
        <f>AO12-#REF!</f>
        <v>#REF!</v>
      </c>
      <c r="AP53" s="1" t="e">
        <f>AP12-#REF!</f>
        <v>#REF!</v>
      </c>
      <c r="AQ53" s="1" t="e">
        <f>AQ12-#REF!</f>
        <v>#REF!</v>
      </c>
      <c r="AR53" s="1" t="e">
        <f>AR12-#REF!</f>
        <v>#REF!</v>
      </c>
      <c r="AS53" s="1" t="e">
        <f>AS12-#REF!</f>
        <v>#REF!</v>
      </c>
      <c r="AT53" s="1" t="e">
        <f>AT12-#REF!</f>
        <v>#REF!</v>
      </c>
      <c r="AU53" s="1" t="e">
        <f>AU12-#REF!</f>
        <v>#REF!</v>
      </c>
      <c r="AV53" s="1" t="e">
        <f>AV12-#REF!</f>
        <v>#REF!</v>
      </c>
      <c r="AW53" s="1" t="e">
        <f>AW12-#REF!</f>
        <v>#REF!</v>
      </c>
      <c r="AX53" s="1" t="e">
        <f>AX12-#REF!</f>
        <v>#REF!</v>
      </c>
      <c r="AY53" s="1" t="e">
        <f>AY12-#REF!</f>
        <v>#REF!</v>
      </c>
      <c r="AZ53" s="1" t="e">
        <f>AZ12-#REF!</f>
        <v>#REF!</v>
      </c>
      <c r="BA53" s="1" t="e">
        <f>BA12-#REF!</f>
        <v>#REF!</v>
      </c>
      <c r="BB53" s="1" t="e">
        <f>BB12-#REF!</f>
        <v>#REF!</v>
      </c>
      <c r="BC53" s="1" t="e">
        <f>BC12-#REF!</f>
        <v>#REF!</v>
      </c>
      <c r="BD53" s="1" t="e">
        <f>BD12-#REF!</f>
        <v>#REF!</v>
      </c>
      <c r="BE53" s="1" t="e">
        <f>BE12-#REF!</f>
        <v>#REF!</v>
      </c>
      <c r="BF53" s="1" t="e">
        <f>BF12-#REF!</f>
        <v>#REF!</v>
      </c>
      <c r="BG53" s="1" t="e">
        <f>BG12-#REF!</f>
        <v>#REF!</v>
      </c>
      <c r="BH53" s="1" t="e">
        <f>BH12-#REF!</f>
        <v>#REF!</v>
      </c>
      <c r="BI53" s="1" t="e">
        <f>BI12-#REF!</f>
        <v>#REF!</v>
      </c>
      <c r="BJ53" s="1" t="e">
        <f>BJ12-#REF!</f>
        <v>#REF!</v>
      </c>
      <c r="BK53" s="1" t="e">
        <f>BK12-#REF!</f>
        <v>#REF!</v>
      </c>
      <c r="BL53" s="1" t="e">
        <f>BL12-#REF!</f>
        <v>#REF!</v>
      </c>
      <c r="BM53" s="1" t="e">
        <f>BM12-#REF!</f>
        <v>#REF!</v>
      </c>
      <c r="BN53" s="1" t="e">
        <f>BN12-#REF!</f>
        <v>#REF!</v>
      </c>
      <c r="BO53" s="1" t="e">
        <f>BO12-#REF!</f>
        <v>#REF!</v>
      </c>
      <c r="BP53" s="1" t="e">
        <f>BP12-#REF!</f>
        <v>#REF!</v>
      </c>
      <c r="BQ53" s="1" t="e">
        <f>BQ12-#REF!</f>
        <v>#REF!</v>
      </c>
      <c r="BR53" s="1" t="e">
        <f>BR12-#REF!</f>
        <v>#REF!</v>
      </c>
      <c r="BS53" s="1" t="e">
        <f>BS12-#REF!</f>
        <v>#REF!</v>
      </c>
      <c r="BT53" s="1" t="e">
        <f>BT12-#REF!</f>
        <v>#REF!</v>
      </c>
      <c r="BU53" s="1" t="e">
        <f>BU12-#REF!</f>
        <v>#REF!</v>
      </c>
    </row>
    <row r="54" spans="4:73" hidden="1" x14ac:dyDescent="0.2">
      <c r="M54" s="1" t="e">
        <f>M13-#REF!</f>
        <v>#REF!</v>
      </c>
      <c r="N54" s="1" t="e">
        <f>N13-#REF!</f>
        <v>#REF!</v>
      </c>
      <c r="O54" s="1" t="e">
        <f>O13-#REF!</f>
        <v>#REF!</v>
      </c>
      <c r="P54" s="1" t="e">
        <f>P13-#REF!</f>
        <v>#REF!</v>
      </c>
      <c r="Q54" s="1" t="e">
        <f>Q13-#REF!</f>
        <v>#REF!</v>
      </c>
      <c r="R54" s="1" t="e">
        <f>R13-#REF!</f>
        <v>#REF!</v>
      </c>
      <c r="S54" s="1" t="e">
        <f>S13-#REF!</f>
        <v>#REF!</v>
      </c>
      <c r="T54" s="1" t="e">
        <f>T13-#REF!</f>
        <v>#REF!</v>
      </c>
      <c r="U54" s="1" t="e">
        <f>U13-#REF!</f>
        <v>#REF!</v>
      </c>
      <c r="V54" s="1" t="e">
        <f>V13-#REF!</f>
        <v>#REF!</v>
      </c>
      <c r="W54" s="1" t="e">
        <f>W13-#REF!</f>
        <v>#REF!</v>
      </c>
      <c r="X54" s="1" t="e">
        <f>X13-#REF!</f>
        <v>#REF!</v>
      </c>
      <c r="Y54" s="1" t="e">
        <f>Y13-#REF!</f>
        <v>#REF!</v>
      </c>
      <c r="Z54" s="1" t="e">
        <f>Z13-#REF!</f>
        <v>#REF!</v>
      </c>
      <c r="AA54" s="1" t="e">
        <f>AA13-#REF!</f>
        <v>#REF!</v>
      </c>
      <c r="AB54" s="1" t="e">
        <f>AB13-#REF!</f>
        <v>#REF!</v>
      </c>
      <c r="AC54" s="1" t="e">
        <f>AC13-#REF!</f>
        <v>#REF!</v>
      </c>
      <c r="AD54" s="1" t="e">
        <f>AD13-#REF!</f>
        <v>#REF!</v>
      </c>
      <c r="AE54" s="1" t="e">
        <f>AE13-#REF!</f>
        <v>#REF!</v>
      </c>
      <c r="AF54" s="1" t="e">
        <f>AF13-#REF!</f>
        <v>#REF!</v>
      </c>
      <c r="AG54" s="1" t="e">
        <f>AG13-#REF!</f>
        <v>#REF!</v>
      </c>
      <c r="AH54" s="1" t="e">
        <f>AH13-#REF!</f>
        <v>#REF!</v>
      </c>
      <c r="AI54" s="1" t="e">
        <f>AI13-#REF!</f>
        <v>#REF!</v>
      </c>
      <c r="AJ54" s="1" t="e">
        <f>AJ13-#REF!</f>
        <v>#REF!</v>
      </c>
      <c r="AK54" s="1" t="e">
        <f>AK13-#REF!</f>
        <v>#REF!</v>
      </c>
      <c r="AL54" s="1" t="e">
        <f>AL13-#REF!</f>
        <v>#REF!</v>
      </c>
      <c r="AM54" s="1" t="e">
        <f>AM13-#REF!</f>
        <v>#REF!</v>
      </c>
      <c r="AN54" s="1" t="e">
        <f>AN13-#REF!</f>
        <v>#REF!</v>
      </c>
      <c r="AO54" s="1" t="e">
        <f>AO13-#REF!</f>
        <v>#REF!</v>
      </c>
      <c r="AP54" s="1" t="e">
        <f>AP13-#REF!</f>
        <v>#REF!</v>
      </c>
      <c r="AQ54" s="1" t="e">
        <f>AQ13-#REF!</f>
        <v>#REF!</v>
      </c>
      <c r="AR54" s="1" t="e">
        <f>AR13-#REF!</f>
        <v>#REF!</v>
      </c>
      <c r="AS54" s="1" t="e">
        <f>AS13-#REF!</f>
        <v>#REF!</v>
      </c>
      <c r="AT54" s="1" t="e">
        <f>AT13-#REF!</f>
        <v>#REF!</v>
      </c>
      <c r="AU54" s="1" t="e">
        <f>AU13-#REF!</f>
        <v>#REF!</v>
      </c>
      <c r="AV54" s="1" t="e">
        <f>AV13-#REF!</f>
        <v>#REF!</v>
      </c>
      <c r="AW54" s="1" t="e">
        <f>AW13-#REF!</f>
        <v>#REF!</v>
      </c>
      <c r="AX54" s="1" t="e">
        <f>AX13-#REF!</f>
        <v>#REF!</v>
      </c>
      <c r="AY54" s="1" t="e">
        <f>AY13-#REF!</f>
        <v>#REF!</v>
      </c>
      <c r="AZ54" s="1" t="e">
        <f>AZ13-#REF!</f>
        <v>#REF!</v>
      </c>
      <c r="BA54" s="1" t="e">
        <f>BA13-#REF!</f>
        <v>#REF!</v>
      </c>
      <c r="BB54" s="1" t="e">
        <f>BB13-#REF!</f>
        <v>#REF!</v>
      </c>
      <c r="BC54" s="1" t="e">
        <f>BC13-#REF!</f>
        <v>#REF!</v>
      </c>
      <c r="BD54" s="1" t="e">
        <f>BD13-#REF!</f>
        <v>#REF!</v>
      </c>
      <c r="BE54" s="1" t="e">
        <f>BE13-#REF!</f>
        <v>#REF!</v>
      </c>
      <c r="BF54" s="1" t="e">
        <f>BF13-#REF!</f>
        <v>#REF!</v>
      </c>
      <c r="BG54" s="1" t="e">
        <f>BG13-#REF!</f>
        <v>#REF!</v>
      </c>
      <c r="BH54" s="1" t="e">
        <f>BH13-#REF!</f>
        <v>#REF!</v>
      </c>
      <c r="BI54" s="1" t="e">
        <f>BI13-#REF!</f>
        <v>#REF!</v>
      </c>
      <c r="BJ54" s="1" t="e">
        <f>BJ13-#REF!</f>
        <v>#REF!</v>
      </c>
      <c r="BK54" s="1" t="e">
        <f>BK13-#REF!</f>
        <v>#REF!</v>
      </c>
      <c r="BL54" s="1" t="e">
        <f>BL13-#REF!</f>
        <v>#REF!</v>
      </c>
      <c r="BM54" s="1" t="e">
        <f>BM13-#REF!</f>
        <v>#REF!</v>
      </c>
      <c r="BN54" s="1" t="e">
        <f>BN13-#REF!</f>
        <v>#REF!</v>
      </c>
      <c r="BO54" s="1" t="e">
        <f>BO13-#REF!</f>
        <v>#REF!</v>
      </c>
      <c r="BP54" s="1" t="e">
        <f>BP13-#REF!</f>
        <v>#REF!</v>
      </c>
      <c r="BQ54" s="1" t="e">
        <f>BQ13-#REF!</f>
        <v>#REF!</v>
      </c>
      <c r="BR54" s="1" t="e">
        <f>BR13-#REF!</f>
        <v>#REF!</v>
      </c>
      <c r="BS54" s="1" t="e">
        <f>BS13-#REF!</f>
        <v>#REF!</v>
      </c>
      <c r="BT54" s="1" t="e">
        <f>BT13-#REF!</f>
        <v>#REF!</v>
      </c>
      <c r="BU54" s="1" t="e">
        <f>BU13-#REF!</f>
        <v>#REF!</v>
      </c>
    </row>
    <row r="55" spans="4:73" hidden="1" x14ac:dyDescent="0.2">
      <c r="D55" s="444"/>
      <c r="M55" s="1" t="e">
        <f>M14-#REF!</f>
        <v>#REF!</v>
      </c>
      <c r="N55" s="1" t="e">
        <f>N14-#REF!</f>
        <v>#REF!</v>
      </c>
      <c r="O55" s="1" t="e">
        <f>O14-#REF!</f>
        <v>#REF!</v>
      </c>
      <c r="P55" s="1" t="e">
        <f>P14-#REF!</f>
        <v>#REF!</v>
      </c>
      <c r="Q55" s="1" t="e">
        <f>Q14-#REF!</f>
        <v>#REF!</v>
      </c>
      <c r="R55" s="1" t="e">
        <f>R14-#REF!</f>
        <v>#REF!</v>
      </c>
      <c r="S55" s="1" t="e">
        <f>S14-#REF!</f>
        <v>#REF!</v>
      </c>
      <c r="T55" s="1" t="e">
        <f>T14-#REF!</f>
        <v>#REF!</v>
      </c>
      <c r="U55" s="1" t="e">
        <f>U14-#REF!</f>
        <v>#REF!</v>
      </c>
      <c r="V55" s="1" t="e">
        <f>V14-#REF!</f>
        <v>#REF!</v>
      </c>
      <c r="W55" s="1" t="e">
        <f>W14-#REF!</f>
        <v>#REF!</v>
      </c>
      <c r="X55" s="1" t="e">
        <f>X14-#REF!</f>
        <v>#REF!</v>
      </c>
      <c r="Y55" s="1" t="e">
        <f>Y14-#REF!</f>
        <v>#REF!</v>
      </c>
      <c r="Z55" s="1" t="e">
        <f>Z14-#REF!</f>
        <v>#REF!</v>
      </c>
      <c r="AA55" s="1" t="e">
        <f>AA14-#REF!</f>
        <v>#REF!</v>
      </c>
      <c r="AB55" s="1" t="e">
        <f>AB14-#REF!</f>
        <v>#REF!</v>
      </c>
      <c r="AC55" s="1" t="e">
        <f>AC14-#REF!</f>
        <v>#REF!</v>
      </c>
      <c r="AD55" s="1" t="e">
        <f>AD14-#REF!</f>
        <v>#REF!</v>
      </c>
      <c r="AE55" s="1" t="e">
        <f>AE14-#REF!</f>
        <v>#REF!</v>
      </c>
      <c r="AF55" s="1" t="e">
        <f>AF14-#REF!</f>
        <v>#REF!</v>
      </c>
      <c r="AG55" s="1" t="e">
        <f>AG14-#REF!</f>
        <v>#REF!</v>
      </c>
      <c r="AH55" s="1" t="e">
        <f>AH14-#REF!</f>
        <v>#REF!</v>
      </c>
      <c r="AI55" s="1" t="e">
        <f>AI14-#REF!</f>
        <v>#REF!</v>
      </c>
      <c r="AJ55" s="1" t="e">
        <f>AJ14-#REF!</f>
        <v>#REF!</v>
      </c>
      <c r="AK55" s="1" t="e">
        <f>AK14-#REF!</f>
        <v>#REF!</v>
      </c>
      <c r="AL55" s="1" t="e">
        <f>AL14-#REF!</f>
        <v>#REF!</v>
      </c>
      <c r="AM55" s="1" t="e">
        <f>AM14-#REF!</f>
        <v>#REF!</v>
      </c>
      <c r="AN55" s="1" t="e">
        <f>AN14-#REF!</f>
        <v>#REF!</v>
      </c>
      <c r="AO55" s="1" t="e">
        <f>AO14-#REF!</f>
        <v>#REF!</v>
      </c>
      <c r="AP55" s="1" t="e">
        <f>AP14-#REF!</f>
        <v>#REF!</v>
      </c>
      <c r="AQ55" s="1" t="e">
        <f>AQ14-#REF!</f>
        <v>#REF!</v>
      </c>
      <c r="AR55" s="1" t="e">
        <f>AR14-#REF!</f>
        <v>#REF!</v>
      </c>
      <c r="AS55" s="1" t="e">
        <f>AS14-#REF!</f>
        <v>#REF!</v>
      </c>
      <c r="AT55" s="1" t="e">
        <f>AT14-#REF!</f>
        <v>#REF!</v>
      </c>
      <c r="AU55" s="1" t="e">
        <f>AU14-#REF!</f>
        <v>#REF!</v>
      </c>
      <c r="AV55" s="1" t="e">
        <f>AV14-#REF!</f>
        <v>#REF!</v>
      </c>
      <c r="AW55" s="1" t="e">
        <f>AW14-#REF!</f>
        <v>#REF!</v>
      </c>
      <c r="AX55" s="1" t="e">
        <f>AX14-#REF!</f>
        <v>#REF!</v>
      </c>
      <c r="AY55" s="1" t="e">
        <f>AY14-#REF!</f>
        <v>#REF!</v>
      </c>
      <c r="AZ55" s="1" t="e">
        <f>AZ14-#REF!</f>
        <v>#REF!</v>
      </c>
      <c r="BA55" s="1" t="e">
        <f>BA14-#REF!</f>
        <v>#REF!</v>
      </c>
      <c r="BB55" s="1" t="e">
        <f>BB14-#REF!</f>
        <v>#REF!</v>
      </c>
      <c r="BC55" s="1" t="e">
        <f>BC14-#REF!</f>
        <v>#REF!</v>
      </c>
      <c r="BD55" s="1" t="e">
        <f>BD14-#REF!</f>
        <v>#REF!</v>
      </c>
      <c r="BE55" s="1" t="e">
        <f>BE14-#REF!</f>
        <v>#REF!</v>
      </c>
      <c r="BF55" s="1" t="e">
        <f>BF14-#REF!</f>
        <v>#REF!</v>
      </c>
      <c r="BG55" s="1" t="e">
        <f>BG14-#REF!</f>
        <v>#REF!</v>
      </c>
      <c r="BH55" s="1" t="e">
        <f>BH14-#REF!</f>
        <v>#REF!</v>
      </c>
      <c r="BI55" s="1" t="e">
        <f>BI14-#REF!</f>
        <v>#REF!</v>
      </c>
      <c r="BJ55" s="1" t="e">
        <f>BJ14-#REF!</f>
        <v>#REF!</v>
      </c>
      <c r="BK55" s="1" t="e">
        <f>BK14-#REF!</f>
        <v>#REF!</v>
      </c>
      <c r="BL55" s="1" t="e">
        <f>BL14-#REF!</f>
        <v>#REF!</v>
      </c>
      <c r="BM55" s="1" t="e">
        <f>BM14-#REF!</f>
        <v>#REF!</v>
      </c>
      <c r="BN55" s="1" t="e">
        <f>BN14-#REF!</f>
        <v>#REF!</v>
      </c>
      <c r="BO55" s="1" t="e">
        <f>BO14-#REF!</f>
        <v>#REF!</v>
      </c>
      <c r="BP55" s="1" t="e">
        <f>BP14-#REF!</f>
        <v>#REF!</v>
      </c>
      <c r="BQ55" s="1" t="e">
        <f>BQ14-#REF!</f>
        <v>#REF!</v>
      </c>
      <c r="BR55" s="1" t="e">
        <f>BR14-#REF!</f>
        <v>#REF!</v>
      </c>
      <c r="BS55" s="1" t="e">
        <f>BS14-#REF!</f>
        <v>#REF!</v>
      </c>
      <c r="BT55" s="1" t="e">
        <f>BT14-#REF!</f>
        <v>#REF!</v>
      </c>
      <c r="BU55" s="1" t="e">
        <f>BU14-#REF!</f>
        <v>#REF!</v>
      </c>
    </row>
    <row r="56" spans="4:73" hidden="1" x14ac:dyDescent="0.2">
      <c r="D56" s="346"/>
      <c r="M56" s="1" t="e">
        <f>M15-#REF!</f>
        <v>#REF!</v>
      </c>
      <c r="N56" s="1" t="e">
        <f>N15-#REF!</f>
        <v>#REF!</v>
      </c>
      <c r="O56" s="1" t="e">
        <f>O15-#REF!</f>
        <v>#REF!</v>
      </c>
      <c r="P56" s="1" t="e">
        <f>P15-#REF!</f>
        <v>#REF!</v>
      </c>
      <c r="Q56" s="1" t="e">
        <f>Q15-#REF!</f>
        <v>#REF!</v>
      </c>
      <c r="R56" s="1" t="e">
        <f>R15-#REF!</f>
        <v>#REF!</v>
      </c>
      <c r="S56" s="1" t="e">
        <f>S15-#REF!</f>
        <v>#REF!</v>
      </c>
      <c r="T56" s="1" t="e">
        <f>T15-#REF!</f>
        <v>#REF!</v>
      </c>
      <c r="U56" s="1" t="e">
        <f>U15-#REF!</f>
        <v>#REF!</v>
      </c>
      <c r="V56" s="1" t="e">
        <f>V15-#REF!</f>
        <v>#REF!</v>
      </c>
      <c r="W56" s="1" t="e">
        <f>W15-#REF!</f>
        <v>#REF!</v>
      </c>
      <c r="X56" s="1" t="e">
        <f>X15-#REF!</f>
        <v>#REF!</v>
      </c>
      <c r="Y56" s="1" t="e">
        <f>Y15-#REF!</f>
        <v>#REF!</v>
      </c>
      <c r="Z56" s="1" t="e">
        <f>Z15-#REF!</f>
        <v>#REF!</v>
      </c>
      <c r="AA56" s="1" t="e">
        <f>AA15-#REF!</f>
        <v>#REF!</v>
      </c>
      <c r="AB56" s="1" t="e">
        <f>AB15-#REF!</f>
        <v>#REF!</v>
      </c>
      <c r="AC56" s="1" t="e">
        <f>AC15-#REF!</f>
        <v>#REF!</v>
      </c>
      <c r="AD56" s="1" t="e">
        <f>AD15-#REF!</f>
        <v>#REF!</v>
      </c>
      <c r="AE56" s="1" t="e">
        <f>AE15-#REF!</f>
        <v>#REF!</v>
      </c>
      <c r="AF56" s="1" t="e">
        <f>AF15-#REF!</f>
        <v>#REF!</v>
      </c>
      <c r="AG56" s="1" t="e">
        <f>AG15-#REF!</f>
        <v>#REF!</v>
      </c>
      <c r="AH56" s="1" t="e">
        <f>AH15-#REF!</f>
        <v>#REF!</v>
      </c>
      <c r="AI56" s="1" t="e">
        <f>AI15-#REF!</f>
        <v>#REF!</v>
      </c>
      <c r="AJ56" s="1" t="e">
        <f>AJ15-#REF!</f>
        <v>#REF!</v>
      </c>
      <c r="AK56" s="1" t="e">
        <f>AK15-#REF!</f>
        <v>#REF!</v>
      </c>
      <c r="AL56" s="1" t="e">
        <f>AL15-#REF!</f>
        <v>#REF!</v>
      </c>
      <c r="AM56" s="1" t="e">
        <f>AM15-#REF!</f>
        <v>#REF!</v>
      </c>
      <c r="AN56" s="1" t="e">
        <f>AN15-#REF!</f>
        <v>#REF!</v>
      </c>
      <c r="AO56" s="1" t="e">
        <f>AO15-#REF!</f>
        <v>#REF!</v>
      </c>
      <c r="AP56" s="1" t="e">
        <f>AP15-#REF!</f>
        <v>#REF!</v>
      </c>
      <c r="AQ56" s="1" t="e">
        <f>AQ15-#REF!</f>
        <v>#REF!</v>
      </c>
      <c r="AR56" s="1" t="e">
        <f>AR15-#REF!</f>
        <v>#REF!</v>
      </c>
      <c r="AS56" s="1" t="e">
        <f>AS15-#REF!</f>
        <v>#REF!</v>
      </c>
      <c r="AT56" s="1" t="e">
        <f>AT15-#REF!</f>
        <v>#REF!</v>
      </c>
      <c r="AU56" s="1" t="e">
        <f>AU15-#REF!</f>
        <v>#REF!</v>
      </c>
      <c r="AV56" s="1" t="e">
        <f>AV15-#REF!</f>
        <v>#REF!</v>
      </c>
      <c r="AW56" s="1" t="e">
        <f>AW15-#REF!</f>
        <v>#REF!</v>
      </c>
      <c r="AX56" s="1" t="e">
        <f>AX15-#REF!</f>
        <v>#REF!</v>
      </c>
      <c r="AY56" s="1" t="e">
        <f>AY15-#REF!</f>
        <v>#REF!</v>
      </c>
      <c r="AZ56" s="1" t="e">
        <f>AZ15-#REF!</f>
        <v>#REF!</v>
      </c>
      <c r="BA56" s="1" t="e">
        <f>BA15-#REF!</f>
        <v>#REF!</v>
      </c>
      <c r="BB56" s="1" t="e">
        <f>BB15-#REF!</f>
        <v>#REF!</v>
      </c>
      <c r="BC56" s="1" t="e">
        <f>BC15-#REF!</f>
        <v>#REF!</v>
      </c>
      <c r="BD56" s="1" t="e">
        <f>BD15-#REF!</f>
        <v>#REF!</v>
      </c>
      <c r="BE56" s="1" t="e">
        <f>BE15-#REF!</f>
        <v>#REF!</v>
      </c>
      <c r="BF56" s="1" t="e">
        <f>BF15-#REF!</f>
        <v>#REF!</v>
      </c>
      <c r="BG56" s="1" t="e">
        <f>BG15-#REF!</f>
        <v>#REF!</v>
      </c>
      <c r="BH56" s="1" t="e">
        <f>BH15-#REF!</f>
        <v>#REF!</v>
      </c>
      <c r="BI56" s="1" t="e">
        <f>BI15-#REF!</f>
        <v>#REF!</v>
      </c>
      <c r="BJ56" s="1" t="e">
        <f>BJ15-#REF!</f>
        <v>#REF!</v>
      </c>
      <c r="BK56" s="1" t="e">
        <f>BK15-#REF!</f>
        <v>#REF!</v>
      </c>
      <c r="BL56" s="1" t="e">
        <f>BL15-#REF!</f>
        <v>#REF!</v>
      </c>
      <c r="BM56" s="1" t="e">
        <f>BM15-#REF!</f>
        <v>#REF!</v>
      </c>
      <c r="BN56" s="1" t="e">
        <f>BN15-#REF!</f>
        <v>#REF!</v>
      </c>
      <c r="BO56" s="1" t="e">
        <f>BO15-#REF!</f>
        <v>#REF!</v>
      </c>
      <c r="BP56" s="1" t="e">
        <f>BP15-#REF!</f>
        <v>#REF!</v>
      </c>
      <c r="BQ56" s="1" t="e">
        <f>BQ15-#REF!</f>
        <v>#REF!</v>
      </c>
      <c r="BR56" s="1" t="e">
        <f>BR15-#REF!</f>
        <v>#REF!</v>
      </c>
      <c r="BS56" s="1" t="e">
        <f>BS15-#REF!</f>
        <v>#REF!</v>
      </c>
      <c r="BT56" s="1" t="e">
        <f>BT15-#REF!</f>
        <v>#REF!</v>
      </c>
      <c r="BU56" s="1" t="e">
        <f>BU15-#REF!</f>
        <v>#REF!</v>
      </c>
    </row>
    <row r="57" spans="4:73" hidden="1" x14ac:dyDescent="0.2">
      <c r="D57" s="445"/>
      <c r="M57" s="1" t="e">
        <f>M16-#REF!</f>
        <v>#REF!</v>
      </c>
      <c r="N57" s="1" t="e">
        <f>N16-#REF!</f>
        <v>#REF!</v>
      </c>
      <c r="O57" s="1" t="e">
        <f>O16-#REF!</f>
        <v>#REF!</v>
      </c>
      <c r="P57" s="1" t="e">
        <f>P16-#REF!</f>
        <v>#REF!</v>
      </c>
      <c r="Q57" s="1" t="e">
        <f>Q16-#REF!</f>
        <v>#REF!</v>
      </c>
      <c r="R57" s="1" t="e">
        <f>R16-#REF!</f>
        <v>#REF!</v>
      </c>
      <c r="S57" s="1" t="e">
        <f>S16-#REF!</f>
        <v>#REF!</v>
      </c>
      <c r="T57" s="1" t="e">
        <f>T16-#REF!</f>
        <v>#REF!</v>
      </c>
      <c r="U57" s="1" t="e">
        <f>U16-#REF!</f>
        <v>#REF!</v>
      </c>
      <c r="V57" s="1" t="e">
        <f>V16-#REF!</f>
        <v>#REF!</v>
      </c>
      <c r="W57" s="1" t="e">
        <f>W16-#REF!</f>
        <v>#REF!</v>
      </c>
      <c r="X57" s="1" t="e">
        <f>X16-#REF!</f>
        <v>#REF!</v>
      </c>
      <c r="Y57" s="1" t="e">
        <f>Y16-#REF!</f>
        <v>#REF!</v>
      </c>
      <c r="Z57" s="1" t="e">
        <f>Z16-#REF!</f>
        <v>#REF!</v>
      </c>
      <c r="AA57" s="1" t="e">
        <f>AA16-#REF!</f>
        <v>#REF!</v>
      </c>
      <c r="AB57" s="1" t="e">
        <f>AB16-#REF!</f>
        <v>#REF!</v>
      </c>
      <c r="AC57" s="1" t="e">
        <f>AC16-#REF!</f>
        <v>#REF!</v>
      </c>
      <c r="AD57" s="1" t="e">
        <f>AD16-#REF!</f>
        <v>#REF!</v>
      </c>
      <c r="AE57" s="1" t="e">
        <f>AE16-#REF!</f>
        <v>#REF!</v>
      </c>
      <c r="AF57" s="1" t="e">
        <f>AF16-#REF!</f>
        <v>#REF!</v>
      </c>
      <c r="AG57" s="1" t="e">
        <f>AG16-#REF!</f>
        <v>#REF!</v>
      </c>
      <c r="AH57" s="1" t="e">
        <f>AH16-#REF!</f>
        <v>#REF!</v>
      </c>
      <c r="AI57" s="1" t="e">
        <f>AI16-#REF!</f>
        <v>#REF!</v>
      </c>
      <c r="AJ57" s="1" t="e">
        <f>AJ16-#REF!</f>
        <v>#REF!</v>
      </c>
      <c r="AK57" s="1" t="e">
        <f>AK16-#REF!</f>
        <v>#REF!</v>
      </c>
      <c r="AL57" s="1" t="e">
        <f>AL16-#REF!</f>
        <v>#REF!</v>
      </c>
      <c r="AM57" s="1" t="e">
        <f>AM16-#REF!</f>
        <v>#REF!</v>
      </c>
      <c r="AN57" s="1" t="e">
        <f>AN16-#REF!</f>
        <v>#REF!</v>
      </c>
      <c r="AO57" s="1" t="e">
        <f>AO16-#REF!</f>
        <v>#REF!</v>
      </c>
      <c r="AP57" s="1" t="e">
        <f>AP16-#REF!</f>
        <v>#REF!</v>
      </c>
      <c r="AQ57" s="1" t="e">
        <f>AQ16-#REF!</f>
        <v>#REF!</v>
      </c>
      <c r="AR57" s="1" t="e">
        <f>AR16-#REF!</f>
        <v>#REF!</v>
      </c>
      <c r="AS57" s="1" t="e">
        <f>AS16-#REF!</f>
        <v>#REF!</v>
      </c>
      <c r="AT57" s="1" t="e">
        <f>AT16-#REF!</f>
        <v>#REF!</v>
      </c>
      <c r="AU57" s="1" t="e">
        <f>AU16-#REF!</f>
        <v>#REF!</v>
      </c>
      <c r="AV57" s="1" t="e">
        <f>AV16-#REF!</f>
        <v>#REF!</v>
      </c>
      <c r="AW57" s="1" t="e">
        <f>AW16-#REF!</f>
        <v>#REF!</v>
      </c>
      <c r="AX57" s="1" t="e">
        <f>AX16-#REF!</f>
        <v>#REF!</v>
      </c>
      <c r="AY57" s="1" t="e">
        <f>AY16-#REF!</f>
        <v>#REF!</v>
      </c>
      <c r="AZ57" s="1" t="e">
        <f>AZ16-#REF!</f>
        <v>#REF!</v>
      </c>
      <c r="BA57" s="1" t="e">
        <f>BA16-#REF!</f>
        <v>#REF!</v>
      </c>
      <c r="BB57" s="1" t="e">
        <f>BB16-#REF!</f>
        <v>#REF!</v>
      </c>
      <c r="BC57" s="1" t="e">
        <f>BC16-#REF!</f>
        <v>#REF!</v>
      </c>
      <c r="BD57" s="1" t="e">
        <f>BD16-#REF!</f>
        <v>#REF!</v>
      </c>
      <c r="BE57" s="1" t="e">
        <f>BE16-#REF!</f>
        <v>#REF!</v>
      </c>
      <c r="BF57" s="1" t="e">
        <f>BF16-#REF!</f>
        <v>#REF!</v>
      </c>
      <c r="BG57" s="1" t="e">
        <f>BG16-#REF!</f>
        <v>#REF!</v>
      </c>
      <c r="BH57" s="1" t="e">
        <f>BH16-#REF!</f>
        <v>#REF!</v>
      </c>
      <c r="BI57" s="1" t="e">
        <f>BI16-#REF!</f>
        <v>#REF!</v>
      </c>
      <c r="BJ57" s="1" t="e">
        <f>BJ16-#REF!</f>
        <v>#REF!</v>
      </c>
      <c r="BK57" s="1" t="e">
        <f>BK16-#REF!</f>
        <v>#REF!</v>
      </c>
      <c r="BL57" s="1" t="e">
        <f>BL16-#REF!</f>
        <v>#REF!</v>
      </c>
      <c r="BM57" s="1" t="e">
        <f>BM16-#REF!</f>
        <v>#REF!</v>
      </c>
      <c r="BN57" s="1" t="e">
        <f>BN16-#REF!</f>
        <v>#REF!</v>
      </c>
      <c r="BO57" s="1" t="e">
        <f>BO16-#REF!</f>
        <v>#REF!</v>
      </c>
      <c r="BP57" s="1" t="e">
        <f>BP16-#REF!</f>
        <v>#REF!</v>
      </c>
      <c r="BQ57" s="1" t="e">
        <f>BQ16-#REF!</f>
        <v>#REF!</v>
      </c>
      <c r="BR57" s="1" t="e">
        <f>BR16-#REF!</f>
        <v>#REF!</v>
      </c>
      <c r="BS57" s="1" t="e">
        <f>BS16-#REF!</f>
        <v>#REF!</v>
      </c>
      <c r="BT57" s="1" t="e">
        <f>BT16-#REF!</f>
        <v>#REF!</v>
      </c>
      <c r="BU57" s="1" t="e">
        <f>BU16-#REF!</f>
        <v>#REF!</v>
      </c>
    </row>
    <row r="58" spans="4:73" hidden="1" x14ac:dyDescent="0.2">
      <c r="M58" s="1" t="e">
        <f>M17-#REF!</f>
        <v>#REF!</v>
      </c>
      <c r="N58" s="1" t="e">
        <f>N17-#REF!</f>
        <v>#REF!</v>
      </c>
      <c r="O58" s="1" t="e">
        <f>O17-#REF!</f>
        <v>#REF!</v>
      </c>
      <c r="P58" s="1" t="e">
        <f>P17-#REF!</f>
        <v>#REF!</v>
      </c>
      <c r="Q58" s="1" t="e">
        <f>Q17-#REF!</f>
        <v>#REF!</v>
      </c>
      <c r="R58" s="1" t="e">
        <f>R17-#REF!</f>
        <v>#REF!</v>
      </c>
      <c r="S58" s="1" t="e">
        <f>S17-#REF!</f>
        <v>#REF!</v>
      </c>
      <c r="T58" s="1" t="e">
        <f>T17-#REF!</f>
        <v>#REF!</v>
      </c>
      <c r="U58" s="1" t="e">
        <f>U17-#REF!</f>
        <v>#REF!</v>
      </c>
      <c r="V58" s="1" t="e">
        <f>V17-#REF!</f>
        <v>#REF!</v>
      </c>
      <c r="W58" s="1" t="e">
        <f>W17-#REF!</f>
        <v>#REF!</v>
      </c>
      <c r="X58" s="1" t="e">
        <f>X17-#REF!</f>
        <v>#REF!</v>
      </c>
      <c r="Y58" s="1" t="e">
        <f>Y17-#REF!</f>
        <v>#REF!</v>
      </c>
      <c r="Z58" s="1" t="e">
        <f>Z17-#REF!</f>
        <v>#REF!</v>
      </c>
      <c r="AA58" s="1" t="e">
        <f>AA17-#REF!</f>
        <v>#REF!</v>
      </c>
      <c r="AB58" s="1" t="e">
        <f>AB17-#REF!</f>
        <v>#REF!</v>
      </c>
      <c r="AC58" s="1" t="e">
        <f>AC17-#REF!</f>
        <v>#REF!</v>
      </c>
      <c r="AD58" s="1" t="e">
        <f>AD17-#REF!</f>
        <v>#REF!</v>
      </c>
      <c r="AE58" s="1" t="e">
        <f>AE17-#REF!</f>
        <v>#REF!</v>
      </c>
      <c r="AF58" s="1" t="e">
        <f>AF17-#REF!</f>
        <v>#REF!</v>
      </c>
      <c r="AG58" s="1" t="e">
        <f>AG17-#REF!</f>
        <v>#REF!</v>
      </c>
      <c r="AH58" s="1" t="e">
        <f>AH17-#REF!</f>
        <v>#REF!</v>
      </c>
      <c r="AI58" s="1" t="e">
        <f>AI17-#REF!</f>
        <v>#REF!</v>
      </c>
      <c r="AJ58" s="1" t="e">
        <f>AJ17-#REF!</f>
        <v>#REF!</v>
      </c>
      <c r="AK58" s="1" t="e">
        <f>AK17-#REF!</f>
        <v>#REF!</v>
      </c>
      <c r="AL58" s="1" t="e">
        <f>AL17-#REF!</f>
        <v>#REF!</v>
      </c>
      <c r="AM58" s="1" t="e">
        <f>AM17-#REF!</f>
        <v>#REF!</v>
      </c>
      <c r="AN58" s="1" t="e">
        <f>AN17-#REF!</f>
        <v>#REF!</v>
      </c>
      <c r="AO58" s="1" t="e">
        <f>AO17-#REF!</f>
        <v>#REF!</v>
      </c>
      <c r="AP58" s="1" t="e">
        <f>AP17-#REF!</f>
        <v>#REF!</v>
      </c>
      <c r="AQ58" s="1" t="e">
        <f>AQ17-#REF!</f>
        <v>#REF!</v>
      </c>
      <c r="AR58" s="1" t="e">
        <f>AR17-#REF!</f>
        <v>#REF!</v>
      </c>
      <c r="AS58" s="1" t="e">
        <f>AS17-#REF!</f>
        <v>#REF!</v>
      </c>
      <c r="AT58" s="1" t="e">
        <f>AT17-#REF!</f>
        <v>#REF!</v>
      </c>
      <c r="AU58" s="1" t="e">
        <f>AU17-#REF!</f>
        <v>#REF!</v>
      </c>
      <c r="AV58" s="1" t="e">
        <f>AV17-#REF!</f>
        <v>#REF!</v>
      </c>
      <c r="AW58" s="1" t="e">
        <f>AW17-#REF!</f>
        <v>#REF!</v>
      </c>
      <c r="AX58" s="1" t="e">
        <f>AX17-#REF!</f>
        <v>#REF!</v>
      </c>
      <c r="AY58" s="1" t="e">
        <f>AY17-#REF!</f>
        <v>#REF!</v>
      </c>
      <c r="AZ58" s="1" t="e">
        <f>AZ17-#REF!</f>
        <v>#REF!</v>
      </c>
      <c r="BA58" s="1" t="e">
        <f>BA17-#REF!</f>
        <v>#REF!</v>
      </c>
      <c r="BB58" s="1" t="e">
        <f>BB17-#REF!</f>
        <v>#REF!</v>
      </c>
      <c r="BC58" s="1" t="e">
        <f>BC17-#REF!</f>
        <v>#REF!</v>
      </c>
      <c r="BD58" s="1" t="e">
        <f>BD17-#REF!</f>
        <v>#REF!</v>
      </c>
      <c r="BE58" s="1" t="e">
        <f>BE17-#REF!</f>
        <v>#REF!</v>
      </c>
      <c r="BF58" s="1" t="e">
        <f>BF17-#REF!</f>
        <v>#REF!</v>
      </c>
      <c r="BG58" s="1" t="e">
        <f>BG17-#REF!</f>
        <v>#REF!</v>
      </c>
      <c r="BH58" s="1" t="e">
        <f>BH17-#REF!</f>
        <v>#REF!</v>
      </c>
      <c r="BI58" s="1" t="e">
        <f>BI17-#REF!</f>
        <v>#REF!</v>
      </c>
      <c r="BJ58" s="1" t="e">
        <f>BJ17-#REF!</f>
        <v>#REF!</v>
      </c>
      <c r="BK58" s="1" t="e">
        <f>BK17-#REF!</f>
        <v>#REF!</v>
      </c>
      <c r="BL58" s="1" t="e">
        <f>BL17-#REF!</f>
        <v>#REF!</v>
      </c>
      <c r="BM58" s="1" t="e">
        <f>BM17-#REF!</f>
        <v>#REF!</v>
      </c>
      <c r="BN58" s="1" t="e">
        <f>BN17-#REF!</f>
        <v>#REF!</v>
      </c>
      <c r="BO58" s="1" t="e">
        <f>BO17-#REF!</f>
        <v>#REF!</v>
      </c>
      <c r="BP58" s="1" t="e">
        <f>BP17-#REF!</f>
        <v>#REF!</v>
      </c>
      <c r="BQ58" s="1" t="e">
        <f>BQ17-#REF!</f>
        <v>#REF!</v>
      </c>
      <c r="BR58" s="1" t="e">
        <f>BR17-#REF!</f>
        <v>#REF!</v>
      </c>
      <c r="BS58" s="1" t="e">
        <f>BS17-#REF!</f>
        <v>#REF!</v>
      </c>
      <c r="BT58" s="1" t="e">
        <f>BT17-#REF!</f>
        <v>#REF!</v>
      </c>
      <c r="BU58" s="1" t="e">
        <f>BU17-#REF!</f>
        <v>#REF!</v>
      </c>
    </row>
    <row r="59" spans="4:73" hidden="1" x14ac:dyDescent="0.2">
      <c r="M59" s="1" t="e">
        <f>M18-#REF!</f>
        <v>#REF!</v>
      </c>
      <c r="N59" s="1" t="e">
        <f>N18-#REF!</f>
        <v>#REF!</v>
      </c>
      <c r="O59" s="1" t="e">
        <f>O18-#REF!</f>
        <v>#REF!</v>
      </c>
      <c r="P59" s="1" t="e">
        <f>P18-#REF!</f>
        <v>#REF!</v>
      </c>
      <c r="Q59" s="1" t="e">
        <f>Q18-#REF!</f>
        <v>#REF!</v>
      </c>
      <c r="R59" s="1" t="e">
        <f>R18-#REF!</f>
        <v>#REF!</v>
      </c>
      <c r="S59" s="1" t="e">
        <f>S18-#REF!</f>
        <v>#REF!</v>
      </c>
      <c r="T59" s="1" t="e">
        <f>T18-#REF!</f>
        <v>#REF!</v>
      </c>
      <c r="U59" s="1" t="e">
        <f>U18-#REF!</f>
        <v>#REF!</v>
      </c>
      <c r="V59" s="1" t="e">
        <f>V18-#REF!</f>
        <v>#REF!</v>
      </c>
      <c r="W59" s="1" t="e">
        <f>W18-#REF!</f>
        <v>#REF!</v>
      </c>
      <c r="X59" s="1" t="e">
        <f>X18-#REF!</f>
        <v>#REF!</v>
      </c>
      <c r="Y59" s="1" t="e">
        <f>Y18-#REF!</f>
        <v>#REF!</v>
      </c>
      <c r="Z59" s="1" t="e">
        <f>Z18-#REF!</f>
        <v>#REF!</v>
      </c>
      <c r="AA59" s="1" t="e">
        <f>AA18-#REF!</f>
        <v>#REF!</v>
      </c>
      <c r="AB59" s="1" t="e">
        <f>AB18-#REF!</f>
        <v>#REF!</v>
      </c>
      <c r="AC59" s="1" t="e">
        <f>AC18-#REF!</f>
        <v>#REF!</v>
      </c>
      <c r="AD59" s="1" t="e">
        <f>AD18-#REF!</f>
        <v>#REF!</v>
      </c>
      <c r="AE59" s="1" t="e">
        <f>AE18-#REF!</f>
        <v>#REF!</v>
      </c>
      <c r="AF59" s="1" t="e">
        <f>AF18-#REF!</f>
        <v>#REF!</v>
      </c>
      <c r="AG59" s="1" t="e">
        <f>AG18-#REF!</f>
        <v>#REF!</v>
      </c>
      <c r="AH59" s="1" t="e">
        <f>AH18-#REF!</f>
        <v>#REF!</v>
      </c>
      <c r="AI59" s="1" t="e">
        <f>AI18-#REF!</f>
        <v>#REF!</v>
      </c>
      <c r="AJ59" s="1" t="e">
        <f>AJ18-#REF!</f>
        <v>#REF!</v>
      </c>
      <c r="AK59" s="1" t="e">
        <f>AK18-#REF!</f>
        <v>#REF!</v>
      </c>
      <c r="AL59" s="1" t="e">
        <f>AL18-#REF!</f>
        <v>#REF!</v>
      </c>
      <c r="AM59" s="1" t="e">
        <f>AM18-#REF!</f>
        <v>#REF!</v>
      </c>
      <c r="AN59" s="1" t="e">
        <f>AN18-#REF!</f>
        <v>#REF!</v>
      </c>
      <c r="AO59" s="1" t="e">
        <f>AO18-#REF!</f>
        <v>#REF!</v>
      </c>
      <c r="AP59" s="1" t="e">
        <f>AP18-#REF!</f>
        <v>#REF!</v>
      </c>
      <c r="AQ59" s="1" t="e">
        <f>AQ18-#REF!</f>
        <v>#REF!</v>
      </c>
      <c r="AR59" s="1" t="e">
        <f>AR18-#REF!</f>
        <v>#REF!</v>
      </c>
      <c r="AS59" s="1" t="e">
        <f>AS18-#REF!</f>
        <v>#REF!</v>
      </c>
      <c r="AT59" s="1" t="e">
        <f>AT18-#REF!</f>
        <v>#REF!</v>
      </c>
      <c r="AU59" s="1" t="e">
        <f>AU18-#REF!</f>
        <v>#REF!</v>
      </c>
      <c r="AV59" s="1" t="e">
        <f>AV18-#REF!</f>
        <v>#REF!</v>
      </c>
      <c r="AW59" s="1" t="e">
        <f>AW18-#REF!</f>
        <v>#REF!</v>
      </c>
      <c r="AX59" s="1" t="e">
        <f>AX18-#REF!</f>
        <v>#REF!</v>
      </c>
      <c r="AY59" s="1" t="e">
        <f>AY18-#REF!</f>
        <v>#REF!</v>
      </c>
      <c r="AZ59" s="1" t="e">
        <f>AZ18-#REF!</f>
        <v>#REF!</v>
      </c>
      <c r="BA59" s="1" t="e">
        <f>BA18-#REF!</f>
        <v>#REF!</v>
      </c>
      <c r="BB59" s="1" t="e">
        <f>BB18-#REF!</f>
        <v>#REF!</v>
      </c>
      <c r="BC59" s="1" t="e">
        <f>BC18-#REF!</f>
        <v>#REF!</v>
      </c>
      <c r="BD59" s="1" t="e">
        <f>BD18-#REF!</f>
        <v>#REF!</v>
      </c>
      <c r="BE59" s="1" t="e">
        <f>BE18-#REF!</f>
        <v>#REF!</v>
      </c>
      <c r="BF59" s="1" t="e">
        <f>BF18-#REF!</f>
        <v>#REF!</v>
      </c>
      <c r="BG59" s="1" t="e">
        <f>BG18-#REF!</f>
        <v>#REF!</v>
      </c>
      <c r="BH59" s="1" t="e">
        <f>BH18-#REF!</f>
        <v>#REF!</v>
      </c>
      <c r="BI59" s="1" t="e">
        <f>BI18-#REF!</f>
        <v>#REF!</v>
      </c>
      <c r="BJ59" s="1" t="e">
        <f>BJ18-#REF!</f>
        <v>#REF!</v>
      </c>
      <c r="BK59" s="1" t="e">
        <f>BK18-#REF!</f>
        <v>#REF!</v>
      </c>
      <c r="BL59" s="1" t="e">
        <f>BL18-#REF!</f>
        <v>#REF!</v>
      </c>
      <c r="BM59" s="1" t="e">
        <f>BM18-#REF!</f>
        <v>#REF!</v>
      </c>
      <c r="BN59" s="1" t="e">
        <f>BN18-#REF!</f>
        <v>#REF!</v>
      </c>
      <c r="BO59" s="1" t="e">
        <f>BO18-#REF!</f>
        <v>#REF!</v>
      </c>
      <c r="BP59" s="1" t="e">
        <f>BP18-#REF!</f>
        <v>#REF!</v>
      </c>
      <c r="BQ59" s="1" t="e">
        <f>BQ18-#REF!</f>
        <v>#REF!</v>
      </c>
      <c r="BR59" s="1" t="e">
        <f>BR18-#REF!</f>
        <v>#REF!</v>
      </c>
      <c r="BS59" s="1" t="e">
        <f>BS18-#REF!</f>
        <v>#REF!</v>
      </c>
      <c r="BT59" s="1" t="e">
        <f>BT18-#REF!</f>
        <v>#REF!</v>
      </c>
      <c r="BU59" s="1" t="e">
        <f>BU18-#REF!</f>
        <v>#REF!</v>
      </c>
    </row>
    <row r="60" spans="4:73" hidden="1" x14ac:dyDescent="0.2">
      <c r="M60" s="1" t="e">
        <f>M19-#REF!</f>
        <v>#REF!</v>
      </c>
      <c r="N60" s="1" t="e">
        <f>N19-#REF!</f>
        <v>#REF!</v>
      </c>
      <c r="O60" s="1" t="e">
        <f>O19-#REF!</f>
        <v>#REF!</v>
      </c>
      <c r="P60" s="1" t="e">
        <f>P19-#REF!</f>
        <v>#REF!</v>
      </c>
      <c r="Q60" s="1" t="e">
        <f>Q19-#REF!</f>
        <v>#REF!</v>
      </c>
      <c r="R60" s="1" t="e">
        <f>R19-#REF!</f>
        <v>#REF!</v>
      </c>
      <c r="S60" s="1" t="e">
        <f>S19-#REF!</f>
        <v>#REF!</v>
      </c>
      <c r="T60" s="1" t="e">
        <f>T19-#REF!</f>
        <v>#REF!</v>
      </c>
      <c r="U60" s="1" t="e">
        <f>U19-#REF!</f>
        <v>#REF!</v>
      </c>
      <c r="V60" s="1" t="e">
        <f>V19-#REF!</f>
        <v>#REF!</v>
      </c>
      <c r="W60" s="1" t="e">
        <f>W19-#REF!</f>
        <v>#REF!</v>
      </c>
      <c r="X60" s="1" t="e">
        <f>X19-#REF!</f>
        <v>#REF!</v>
      </c>
      <c r="Y60" s="1" t="e">
        <f>Y19-#REF!</f>
        <v>#REF!</v>
      </c>
      <c r="Z60" s="1" t="e">
        <f>Z19-#REF!</f>
        <v>#REF!</v>
      </c>
      <c r="AA60" s="1" t="e">
        <f>AA19-#REF!</f>
        <v>#REF!</v>
      </c>
      <c r="AB60" s="1" t="e">
        <f>AB19-#REF!</f>
        <v>#REF!</v>
      </c>
      <c r="AC60" s="1" t="e">
        <f>AC19-#REF!</f>
        <v>#REF!</v>
      </c>
      <c r="AD60" s="1" t="e">
        <f>AD19-#REF!</f>
        <v>#REF!</v>
      </c>
      <c r="AE60" s="1" t="e">
        <f>AE19-#REF!</f>
        <v>#REF!</v>
      </c>
      <c r="AF60" s="1" t="e">
        <f>AF19-#REF!</f>
        <v>#REF!</v>
      </c>
      <c r="AG60" s="1" t="e">
        <f>AG19-#REF!</f>
        <v>#REF!</v>
      </c>
      <c r="AH60" s="1" t="e">
        <f>AH19-#REF!</f>
        <v>#REF!</v>
      </c>
      <c r="AI60" s="1" t="e">
        <f>AI19-#REF!</f>
        <v>#REF!</v>
      </c>
      <c r="AJ60" s="1" t="e">
        <f>AJ19-#REF!</f>
        <v>#REF!</v>
      </c>
      <c r="AK60" s="1" t="e">
        <f>AK19-#REF!</f>
        <v>#REF!</v>
      </c>
      <c r="AL60" s="1" t="e">
        <f>AL19-#REF!</f>
        <v>#REF!</v>
      </c>
      <c r="AM60" s="1" t="e">
        <f>AM19-#REF!</f>
        <v>#REF!</v>
      </c>
      <c r="AN60" s="1" t="e">
        <f>AN19-#REF!</f>
        <v>#REF!</v>
      </c>
      <c r="AO60" s="1" t="e">
        <f>AO19-#REF!</f>
        <v>#REF!</v>
      </c>
      <c r="AP60" s="1" t="e">
        <f>AP19-#REF!</f>
        <v>#REF!</v>
      </c>
      <c r="AQ60" s="1" t="e">
        <f>AQ19-#REF!</f>
        <v>#REF!</v>
      </c>
      <c r="AR60" s="1" t="e">
        <f>AR19-#REF!</f>
        <v>#REF!</v>
      </c>
      <c r="AS60" s="1" t="e">
        <f>AS19-#REF!</f>
        <v>#REF!</v>
      </c>
      <c r="AT60" s="1" t="e">
        <f>AT19-#REF!</f>
        <v>#REF!</v>
      </c>
      <c r="AU60" s="1" t="e">
        <f>AU19-#REF!</f>
        <v>#REF!</v>
      </c>
      <c r="AV60" s="1" t="e">
        <f>AV19-#REF!</f>
        <v>#REF!</v>
      </c>
      <c r="AW60" s="1" t="e">
        <f>AW19-#REF!</f>
        <v>#REF!</v>
      </c>
      <c r="AX60" s="1" t="e">
        <f>AX19-#REF!</f>
        <v>#REF!</v>
      </c>
      <c r="AY60" s="1" t="e">
        <f>AY19-#REF!</f>
        <v>#REF!</v>
      </c>
      <c r="AZ60" s="1" t="e">
        <f>AZ19-#REF!</f>
        <v>#REF!</v>
      </c>
      <c r="BA60" s="1" t="e">
        <f>BA19-#REF!</f>
        <v>#REF!</v>
      </c>
      <c r="BB60" s="1" t="e">
        <f>BB19-#REF!</f>
        <v>#REF!</v>
      </c>
      <c r="BC60" s="1" t="e">
        <f>BC19-#REF!</f>
        <v>#REF!</v>
      </c>
      <c r="BD60" s="1" t="e">
        <f>BD19-#REF!</f>
        <v>#REF!</v>
      </c>
      <c r="BE60" s="1" t="e">
        <f>BE19-#REF!</f>
        <v>#REF!</v>
      </c>
      <c r="BF60" s="1" t="e">
        <f>BF19-#REF!</f>
        <v>#REF!</v>
      </c>
      <c r="BG60" s="1" t="e">
        <f>BG19-#REF!</f>
        <v>#REF!</v>
      </c>
      <c r="BH60" s="1" t="e">
        <f>BH19-#REF!</f>
        <v>#REF!</v>
      </c>
      <c r="BI60" s="1" t="e">
        <f>BI19-#REF!</f>
        <v>#REF!</v>
      </c>
      <c r="BJ60" s="1" t="e">
        <f>BJ19-#REF!</f>
        <v>#REF!</v>
      </c>
      <c r="BK60" s="1" t="e">
        <f>BK19-#REF!</f>
        <v>#REF!</v>
      </c>
      <c r="BL60" s="1" t="e">
        <f>BL19-#REF!</f>
        <v>#REF!</v>
      </c>
      <c r="BM60" s="1" t="e">
        <f>BM19-#REF!</f>
        <v>#REF!</v>
      </c>
      <c r="BN60" s="1" t="e">
        <f>BN19-#REF!</f>
        <v>#REF!</v>
      </c>
      <c r="BO60" s="1" t="e">
        <f>BO19-#REF!</f>
        <v>#REF!</v>
      </c>
      <c r="BP60" s="1" t="e">
        <f>BP19-#REF!</f>
        <v>#REF!</v>
      </c>
      <c r="BQ60" s="1" t="e">
        <f>BQ19-#REF!</f>
        <v>#REF!</v>
      </c>
      <c r="BR60" s="1" t="e">
        <f>BR19-#REF!</f>
        <v>#REF!</v>
      </c>
      <c r="BS60" s="1" t="e">
        <f>BS19-#REF!</f>
        <v>#REF!</v>
      </c>
      <c r="BT60" s="1" t="e">
        <f>BT19-#REF!</f>
        <v>#REF!</v>
      </c>
      <c r="BU60" s="1" t="e">
        <f>BU19-#REF!</f>
        <v>#REF!</v>
      </c>
    </row>
    <row r="61" spans="4:73" hidden="1" x14ac:dyDescent="0.2">
      <c r="M61" s="1" t="e">
        <f>M20-#REF!</f>
        <v>#REF!</v>
      </c>
      <c r="N61" s="1" t="e">
        <f>N20-#REF!</f>
        <v>#REF!</v>
      </c>
      <c r="O61" s="1" t="e">
        <f>O20-#REF!</f>
        <v>#REF!</v>
      </c>
      <c r="P61" s="1" t="e">
        <f>P20-#REF!</f>
        <v>#REF!</v>
      </c>
      <c r="Q61" s="1" t="e">
        <f>Q20-#REF!</f>
        <v>#REF!</v>
      </c>
      <c r="R61" s="1" t="e">
        <f>R20-#REF!</f>
        <v>#REF!</v>
      </c>
      <c r="S61" s="1" t="e">
        <f>S20-#REF!</f>
        <v>#REF!</v>
      </c>
      <c r="T61" s="1" t="e">
        <f>T20-#REF!</f>
        <v>#REF!</v>
      </c>
      <c r="U61" s="1" t="e">
        <f>U20-#REF!</f>
        <v>#REF!</v>
      </c>
      <c r="V61" s="1" t="e">
        <f>V20-#REF!</f>
        <v>#REF!</v>
      </c>
      <c r="W61" s="1" t="e">
        <f>W20-#REF!</f>
        <v>#REF!</v>
      </c>
      <c r="X61" s="1" t="e">
        <f>X20-#REF!</f>
        <v>#REF!</v>
      </c>
      <c r="Y61" s="1" t="e">
        <f>Y20-#REF!</f>
        <v>#REF!</v>
      </c>
      <c r="Z61" s="1" t="e">
        <f>Z20-#REF!</f>
        <v>#REF!</v>
      </c>
      <c r="AA61" s="1" t="e">
        <f>AA20-#REF!</f>
        <v>#REF!</v>
      </c>
      <c r="AB61" s="1" t="e">
        <f>AB20-#REF!</f>
        <v>#REF!</v>
      </c>
      <c r="AC61" s="1" t="e">
        <f>AC20-#REF!</f>
        <v>#REF!</v>
      </c>
      <c r="AD61" s="1" t="e">
        <f>AD20-#REF!</f>
        <v>#REF!</v>
      </c>
      <c r="AE61" s="1" t="e">
        <f>AE20-#REF!</f>
        <v>#REF!</v>
      </c>
      <c r="AF61" s="1" t="e">
        <f>AF20-#REF!</f>
        <v>#REF!</v>
      </c>
      <c r="AG61" s="1" t="e">
        <f>AG20-#REF!</f>
        <v>#REF!</v>
      </c>
      <c r="AH61" s="1" t="e">
        <f>AH20-#REF!</f>
        <v>#REF!</v>
      </c>
      <c r="AI61" s="1" t="e">
        <f>AI20-#REF!</f>
        <v>#REF!</v>
      </c>
      <c r="AJ61" s="1" t="e">
        <f>AJ20-#REF!</f>
        <v>#REF!</v>
      </c>
      <c r="AK61" s="1" t="e">
        <f>AK20-#REF!</f>
        <v>#REF!</v>
      </c>
      <c r="AL61" s="1" t="e">
        <f>AL20-#REF!</f>
        <v>#REF!</v>
      </c>
      <c r="AM61" s="1" t="e">
        <f>AM20-#REF!</f>
        <v>#REF!</v>
      </c>
      <c r="AN61" s="1" t="e">
        <f>AN20-#REF!</f>
        <v>#REF!</v>
      </c>
      <c r="AO61" s="1" t="e">
        <f>AO20-#REF!</f>
        <v>#REF!</v>
      </c>
      <c r="AP61" s="1" t="e">
        <f>AP20-#REF!</f>
        <v>#REF!</v>
      </c>
      <c r="AQ61" s="1" t="e">
        <f>AQ20-#REF!</f>
        <v>#REF!</v>
      </c>
      <c r="AR61" s="1" t="e">
        <f>AR20-#REF!</f>
        <v>#REF!</v>
      </c>
      <c r="AS61" s="1" t="e">
        <f>AS20-#REF!</f>
        <v>#REF!</v>
      </c>
      <c r="AT61" s="1" t="e">
        <f>AT20-#REF!</f>
        <v>#REF!</v>
      </c>
      <c r="AU61" s="1" t="e">
        <f>AU20-#REF!</f>
        <v>#REF!</v>
      </c>
      <c r="AV61" s="1" t="e">
        <f>AV20-#REF!</f>
        <v>#REF!</v>
      </c>
      <c r="AW61" s="1" t="e">
        <f>AW20-#REF!</f>
        <v>#REF!</v>
      </c>
      <c r="AX61" s="1" t="e">
        <f>AX20-#REF!</f>
        <v>#REF!</v>
      </c>
      <c r="AY61" s="1" t="e">
        <f>AY20-#REF!</f>
        <v>#REF!</v>
      </c>
      <c r="AZ61" s="1" t="e">
        <f>AZ20-#REF!</f>
        <v>#REF!</v>
      </c>
      <c r="BA61" s="1" t="e">
        <f>BA20-#REF!</f>
        <v>#REF!</v>
      </c>
      <c r="BB61" s="1" t="e">
        <f>BB20-#REF!</f>
        <v>#REF!</v>
      </c>
      <c r="BC61" s="1" t="e">
        <f>BC20-#REF!</f>
        <v>#REF!</v>
      </c>
      <c r="BD61" s="1" t="e">
        <f>BD20-#REF!</f>
        <v>#REF!</v>
      </c>
      <c r="BE61" s="1" t="e">
        <f>BE20-#REF!</f>
        <v>#REF!</v>
      </c>
      <c r="BF61" s="1" t="e">
        <f>BF20-#REF!</f>
        <v>#REF!</v>
      </c>
      <c r="BG61" s="1" t="e">
        <f>BG20-#REF!</f>
        <v>#REF!</v>
      </c>
      <c r="BH61" s="1" t="e">
        <f>BH20-#REF!</f>
        <v>#REF!</v>
      </c>
      <c r="BI61" s="1" t="e">
        <f>BI20-#REF!</f>
        <v>#REF!</v>
      </c>
      <c r="BJ61" s="1" t="e">
        <f>BJ20-#REF!</f>
        <v>#REF!</v>
      </c>
      <c r="BK61" s="1" t="e">
        <f>BK20-#REF!</f>
        <v>#REF!</v>
      </c>
      <c r="BL61" s="1" t="e">
        <f>BL20-#REF!</f>
        <v>#REF!</v>
      </c>
      <c r="BM61" s="1" t="e">
        <f>BM20-#REF!</f>
        <v>#REF!</v>
      </c>
      <c r="BN61" s="1" t="e">
        <f>BN20-#REF!</f>
        <v>#REF!</v>
      </c>
      <c r="BO61" s="1" t="e">
        <f>BO20-#REF!</f>
        <v>#REF!</v>
      </c>
      <c r="BP61" s="1" t="e">
        <f>BP20-#REF!</f>
        <v>#REF!</v>
      </c>
      <c r="BQ61" s="1" t="e">
        <f>BQ20-#REF!</f>
        <v>#REF!</v>
      </c>
      <c r="BR61" s="1" t="e">
        <f>BR20-#REF!</f>
        <v>#REF!</v>
      </c>
      <c r="BS61" s="1" t="e">
        <f>BS20-#REF!</f>
        <v>#REF!</v>
      </c>
      <c r="BT61" s="1" t="e">
        <f>BT20-#REF!</f>
        <v>#REF!</v>
      </c>
      <c r="BU61" s="1" t="e">
        <f>BU20-#REF!</f>
        <v>#REF!</v>
      </c>
    </row>
    <row r="62" spans="4:73" hidden="1" x14ac:dyDescent="0.2">
      <c r="M62" s="1" t="e">
        <f>M21-#REF!</f>
        <v>#REF!</v>
      </c>
      <c r="N62" s="1" t="e">
        <f>N21-#REF!</f>
        <v>#REF!</v>
      </c>
      <c r="O62" s="1" t="e">
        <f>O21-#REF!</f>
        <v>#REF!</v>
      </c>
      <c r="P62" s="1" t="e">
        <f>P21-#REF!</f>
        <v>#REF!</v>
      </c>
      <c r="Q62" s="1" t="e">
        <f>Q21-#REF!</f>
        <v>#REF!</v>
      </c>
      <c r="R62" s="1" t="e">
        <f>R21-#REF!</f>
        <v>#REF!</v>
      </c>
      <c r="S62" s="1" t="e">
        <f>S21-#REF!</f>
        <v>#REF!</v>
      </c>
      <c r="T62" s="1" t="e">
        <f>T21-#REF!</f>
        <v>#REF!</v>
      </c>
      <c r="U62" s="1" t="e">
        <f>U21-#REF!</f>
        <v>#REF!</v>
      </c>
      <c r="V62" s="1" t="e">
        <f>V21-#REF!</f>
        <v>#REF!</v>
      </c>
      <c r="W62" s="1" t="e">
        <f>W21-#REF!</f>
        <v>#REF!</v>
      </c>
      <c r="X62" s="1" t="e">
        <f>X21-#REF!</f>
        <v>#REF!</v>
      </c>
      <c r="Y62" s="1" t="e">
        <f>Y21-#REF!</f>
        <v>#REF!</v>
      </c>
      <c r="Z62" s="1" t="e">
        <f>Z21-#REF!</f>
        <v>#REF!</v>
      </c>
      <c r="AA62" s="1" t="e">
        <f>AA21-#REF!</f>
        <v>#REF!</v>
      </c>
      <c r="AB62" s="1" t="e">
        <f>AB21-#REF!</f>
        <v>#REF!</v>
      </c>
      <c r="AC62" s="1" t="e">
        <f>AC21-#REF!</f>
        <v>#REF!</v>
      </c>
      <c r="AD62" s="1" t="e">
        <f>AD21-#REF!</f>
        <v>#REF!</v>
      </c>
      <c r="AE62" s="1" t="e">
        <f>AE21-#REF!</f>
        <v>#REF!</v>
      </c>
      <c r="AF62" s="1" t="e">
        <f>AF21-#REF!</f>
        <v>#REF!</v>
      </c>
      <c r="AG62" s="1" t="e">
        <f>AG21-#REF!</f>
        <v>#REF!</v>
      </c>
      <c r="AH62" s="1" t="e">
        <f>AH21-#REF!</f>
        <v>#REF!</v>
      </c>
      <c r="AI62" s="1" t="e">
        <f>AI21-#REF!</f>
        <v>#REF!</v>
      </c>
      <c r="AJ62" s="1" t="e">
        <f>AJ21-#REF!</f>
        <v>#REF!</v>
      </c>
      <c r="AK62" s="1" t="e">
        <f>AK21-#REF!</f>
        <v>#REF!</v>
      </c>
      <c r="AL62" s="1" t="e">
        <f>AL21-#REF!</f>
        <v>#REF!</v>
      </c>
      <c r="AM62" s="1" t="e">
        <f>AM21-#REF!</f>
        <v>#REF!</v>
      </c>
      <c r="AN62" s="1" t="e">
        <f>AN21-#REF!</f>
        <v>#REF!</v>
      </c>
      <c r="AO62" s="1" t="e">
        <f>AO21-#REF!</f>
        <v>#REF!</v>
      </c>
      <c r="AP62" s="1" t="e">
        <f>AP21-#REF!</f>
        <v>#REF!</v>
      </c>
      <c r="AQ62" s="1" t="e">
        <f>AQ21-#REF!</f>
        <v>#REF!</v>
      </c>
      <c r="AR62" s="1" t="e">
        <f>AR21-#REF!</f>
        <v>#REF!</v>
      </c>
      <c r="AS62" s="1" t="e">
        <f>AS21-#REF!</f>
        <v>#REF!</v>
      </c>
      <c r="AT62" s="1" t="e">
        <f>AT21-#REF!</f>
        <v>#REF!</v>
      </c>
      <c r="AU62" s="1" t="e">
        <f>AU21-#REF!</f>
        <v>#REF!</v>
      </c>
      <c r="AV62" s="1" t="e">
        <f>AV21-#REF!</f>
        <v>#REF!</v>
      </c>
      <c r="AW62" s="1" t="e">
        <f>AW21-#REF!</f>
        <v>#REF!</v>
      </c>
      <c r="AX62" s="1" t="e">
        <f>AX21-#REF!</f>
        <v>#REF!</v>
      </c>
      <c r="AY62" s="1" t="e">
        <f>AY21-#REF!</f>
        <v>#REF!</v>
      </c>
      <c r="AZ62" s="1" t="e">
        <f>AZ21-#REF!</f>
        <v>#REF!</v>
      </c>
      <c r="BA62" s="1" t="e">
        <f>BA21-#REF!</f>
        <v>#REF!</v>
      </c>
      <c r="BB62" s="1" t="e">
        <f>BB21-#REF!</f>
        <v>#REF!</v>
      </c>
      <c r="BC62" s="1" t="e">
        <f>BC21-#REF!</f>
        <v>#REF!</v>
      </c>
      <c r="BD62" s="1" t="e">
        <f>BD21-#REF!</f>
        <v>#REF!</v>
      </c>
      <c r="BE62" s="1" t="e">
        <f>BE21-#REF!</f>
        <v>#REF!</v>
      </c>
      <c r="BF62" s="1" t="e">
        <f>BF21-#REF!</f>
        <v>#REF!</v>
      </c>
      <c r="BG62" s="1" t="e">
        <f>BG21-#REF!</f>
        <v>#REF!</v>
      </c>
      <c r="BH62" s="1" t="e">
        <f>BH21-#REF!</f>
        <v>#REF!</v>
      </c>
      <c r="BI62" s="1" t="e">
        <f>BI21-#REF!</f>
        <v>#REF!</v>
      </c>
      <c r="BJ62" s="1" t="e">
        <f>BJ21-#REF!</f>
        <v>#REF!</v>
      </c>
      <c r="BK62" s="1" t="e">
        <f>BK21-#REF!</f>
        <v>#REF!</v>
      </c>
      <c r="BL62" s="1" t="e">
        <f>BL21-#REF!</f>
        <v>#REF!</v>
      </c>
      <c r="BM62" s="1" t="e">
        <f>BM21-#REF!</f>
        <v>#REF!</v>
      </c>
      <c r="BN62" s="1" t="e">
        <f>BN21-#REF!</f>
        <v>#REF!</v>
      </c>
      <c r="BO62" s="1" t="e">
        <f>BO21-#REF!</f>
        <v>#REF!</v>
      </c>
      <c r="BP62" s="1" t="e">
        <f>BP21-#REF!</f>
        <v>#REF!</v>
      </c>
      <c r="BQ62" s="1" t="e">
        <f>BQ21-#REF!</f>
        <v>#REF!</v>
      </c>
      <c r="BR62" s="1" t="e">
        <f>BR21-#REF!</f>
        <v>#REF!</v>
      </c>
      <c r="BS62" s="1" t="e">
        <f>BS21-#REF!</f>
        <v>#REF!</v>
      </c>
      <c r="BT62" s="1" t="e">
        <f>BT21-#REF!</f>
        <v>#REF!</v>
      </c>
      <c r="BU62" s="1" t="e">
        <f>BU21-#REF!</f>
        <v>#REF!</v>
      </c>
    </row>
    <row r="63" spans="4:73" hidden="1" x14ac:dyDescent="0.2">
      <c r="M63" s="1" t="e">
        <f>M22-#REF!</f>
        <v>#REF!</v>
      </c>
      <c r="N63" s="1" t="e">
        <f>N22-#REF!</f>
        <v>#REF!</v>
      </c>
      <c r="O63" s="1" t="e">
        <f>O22-#REF!</f>
        <v>#REF!</v>
      </c>
      <c r="P63" s="1" t="e">
        <f>P22-#REF!</f>
        <v>#REF!</v>
      </c>
      <c r="Q63" s="1" t="e">
        <f>Q22-#REF!</f>
        <v>#REF!</v>
      </c>
      <c r="R63" s="1" t="e">
        <f>R22-#REF!</f>
        <v>#REF!</v>
      </c>
      <c r="S63" s="1" t="e">
        <f>S22-#REF!</f>
        <v>#REF!</v>
      </c>
      <c r="T63" s="1" t="e">
        <f>T22-#REF!</f>
        <v>#REF!</v>
      </c>
      <c r="U63" s="1" t="e">
        <f>U22-#REF!</f>
        <v>#REF!</v>
      </c>
      <c r="V63" s="1" t="e">
        <f>V22-#REF!</f>
        <v>#REF!</v>
      </c>
      <c r="W63" s="1" t="e">
        <f>W22-#REF!</f>
        <v>#REF!</v>
      </c>
      <c r="X63" s="1" t="e">
        <f>X22-#REF!</f>
        <v>#REF!</v>
      </c>
      <c r="Y63" s="1" t="e">
        <f>Y22-#REF!</f>
        <v>#REF!</v>
      </c>
      <c r="Z63" s="1" t="e">
        <f>Z22-#REF!</f>
        <v>#REF!</v>
      </c>
      <c r="AA63" s="1" t="e">
        <f>AA22-#REF!</f>
        <v>#REF!</v>
      </c>
      <c r="AB63" s="1" t="e">
        <f>AB22-#REF!</f>
        <v>#REF!</v>
      </c>
      <c r="AC63" s="1" t="e">
        <f>AC22-#REF!</f>
        <v>#REF!</v>
      </c>
      <c r="AD63" s="1" t="e">
        <f>AD22-#REF!</f>
        <v>#REF!</v>
      </c>
      <c r="AE63" s="1" t="e">
        <f>AE22-#REF!</f>
        <v>#REF!</v>
      </c>
      <c r="AF63" s="1" t="e">
        <f>AF22-#REF!</f>
        <v>#REF!</v>
      </c>
      <c r="AG63" s="1" t="e">
        <f>AG22-#REF!</f>
        <v>#REF!</v>
      </c>
      <c r="AH63" s="1" t="e">
        <f>AH22-#REF!</f>
        <v>#REF!</v>
      </c>
      <c r="AI63" s="1" t="e">
        <f>AI22-#REF!</f>
        <v>#REF!</v>
      </c>
      <c r="AJ63" s="1" t="e">
        <f>AJ22-#REF!</f>
        <v>#REF!</v>
      </c>
      <c r="AK63" s="1" t="e">
        <f>AK22-#REF!</f>
        <v>#REF!</v>
      </c>
      <c r="AL63" s="1" t="e">
        <f>AL22-#REF!</f>
        <v>#REF!</v>
      </c>
      <c r="AM63" s="1" t="e">
        <f>AM22-#REF!</f>
        <v>#REF!</v>
      </c>
      <c r="AN63" s="1" t="e">
        <f>AN22-#REF!</f>
        <v>#REF!</v>
      </c>
      <c r="AO63" s="1" t="e">
        <f>AO22-#REF!</f>
        <v>#REF!</v>
      </c>
      <c r="AP63" s="1" t="e">
        <f>AP22-#REF!</f>
        <v>#REF!</v>
      </c>
      <c r="AQ63" s="1" t="e">
        <f>AQ22-#REF!</f>
        <v>#REF!</v>
      </c>
      <c r="AR63" s="1" t="e">
        <f>AR22-#REF!</f>
        <v>#REF!</v>
      </c>
      <c r="AS63" s="1" t="e">
        <f>AS22-#REF!</f>
        <v>#REF!</v>
      </c>
      <c r="AT63" s="1" t="e">
        <f>AT22-#REF!</f>
        <v>#REF!</v>
      </c>
      <c r="AU63" s="1" t="e">
        <f>AU22-#REF!</f>
        <v>#REF!</v>
      </c>
      <c r="AV63" s="1" t="e">
        <f>AV22-#REF!</f>
        <v>#REF!</v>
      </c>
      <c r="AW63" s="1" t="e">
        <f>AW22-#REF!</f>
        <v>#REF!</v>
      </c>
      <c r="AX63" s="1" t="e">
        <f>AX22-#REF!</f>
        <v>#REF!</v>
      </c>
      <c r="AY63" s="1" t="e">
        <f>AY22-#REF!</f>
        <v>#REF!</v>
      </c>
      <c r="AZ63" s="1" t="e">
        <f>AZ22-#REF!</f>
        <v>#REF!</v>
      </c>
      <c r="BA63" s="1" t="e">
        <f>BA22-#REF!</f>
        <v>#REF!</v>
      </c>
      <c r="BB63" s="1" t="e">
        <f>BB22-#REF!</f>
        <v>#REF!</v>
      </c>
      <c r="BC63" s="1" t="e">
        <f>BC22-#REF!</f>
        <v>#REF!</v>
      </c>
      <c r="BD63" s="1" t="e">
        <f>BD22-#REF!</f>
        <v>#REF!</v>
      </c>
      <c r="BE63" s="1" t="e">
        <f>BE22-#REF!</f>
        <v>#REF!</v>
      </c>
      <c r="BF63" s="1" t="e">
        <f>BF22-#REF!</f>
        <v>#REF!</v>
      </c>
      <c r="BG63" s="1" t="e">
        <f>BG22-#REF!</f>
        <v>#REF!</v>
      </c>
      <c r="BH63" s="1" t="e">
        <f>BH22-#REF!</f>
        <v>#REF!</v>
      </c>
      <c r="BI63" s="1" t="e">
        <f>BI22-#REF!</f>
        <v>#REF!</v>
      </c>
      <c r="BJ63" s="1" t="e">
        <f>BJ22-#REF!</f>
        <v>#REF!</v>
      </c>
      <c r="BK63" s="1" t="e">
        <f>BK22-#REF!</f>
        <v>#REF!</v>
      </c>
      <c r="BL63" s="1" t="e">
        <f>BL22-#REF!</f>
        <v>#REF!</v>
      </c>
      <c r="BM63" s="1" t="e">
        <f>BM22-#REF!</f>
        <v>#REF!</v>
      </c>
      <c r="BN63" s="1" t="e">
        <f>BN22-#REF!</f>
        <v>#REF!</v>
      </c>
      <c r="BO63" s="1" t="e">
        <f>BO22-#REF!</f>
        <v>#REF!</v>
      </c>
      <c r="BP63" s="1" t="e">
        <f>BP22-#REF!</f>
        <v>#REF!</v>
      </c>
      <c r="BQ63" s="1" t="e">
        <f>BQ22-#REF!</f>
        <v>#REF!</v>
      </c>
      <c r="BR63" s="1" t="e">
        <f>BR22-#REF!</f>
        <v>#REF!</v>
      </c>
      <c r="BS63" s="1" t="e">
        <f>BS22-#REF!</f>
        <v>#REF!</v>
      </c>
      <c r="BT63" s="1" t="e">
        <f>BT22-#REF!</f>
        <v>#REF!</v>
      </c>
      <c r="BU63" s="1" t="e">
        <f>BU22-#REF!</f>
        <v>#REF!</v>
      </c>
    </row>
    <row r="64" spans="4:73" hidden="1" x14ac:dyDescent="0.2">
      <c r="M64" s="1" t="e">
        <f>M23-#REF!</f>
        <v>#REF!</v>
      </c>
      <c r="N64" s="1" t="e">
        <f>N23-#REF!</f>
        <v>#REF!</v>
      </c>
      <c r="O64" s="1" t="e">
        <f>O23-#REF!</f>
        <v>#REF!</v>
      </c>
      <c r="P64" s="1" t="e">
        <f>P23-#REF!</f>
        <v>#REF!</v>
      </c>
      <c r="Q64" s="1" t="e">
        <f>Q23-#REF!</f>
        <v>#REF!</v>
      </c>
      <c r="R64" s="1" t="e">
        <f>R23-#REF!</f>
        <v>#REF!</v>
      </c>
      <c r="S64" s="1" t="e">
        <f>S23-#REF!</f>
        <v>#REF!</v>
      </c>
      <c r="T64" s="1" t="e">
        <f>T23-#REF!</f>
        <v>#REF!</v>
      </c>
      <c r="U64" s="1" t="e">
        <f>U23-#REF!</f>
        <v>#REF!</v>
      </c>
      <c r="V64" s="1" t="e">
        <f>V23-#REF!</f>
        <v>#REF!</v>
      </c>
      <c r="W64" s="1" t="e">
        <f>W23-#REF!</f>
        <v>#REF!</v>
      </c>
      <c r="X64" s="1" t="e">
        <f>X23-#REF!</f>
        <v>#REF!</v>
      </c>
      <c r="Y64" s="1" t="e">
        <f>Y23-#REF!</f>
        <v>#REF!</v>
      </c>
      <c r="Z64" s="1" t="e">
        <f>Z23-#REF!</f>
        <v>#REF!</v>
      </c>
      <c r="AA64" s="1" t="e">
        <f>AA23-#REF!</f>
        <v>#REF!</v>
      </c>
      <c r="AB64" s="1" t="e">
        <f>AB23-#REF!</f>
        <v>#REF!</v>
      </c>
      <c r="AC64" s="1" t="e">
        <f>AC23-#REF!</f>
        <v>#REF!</v>
      </c>
      <c r="AD64" s="1" t="e">
        <f>AD23-#REF!</f>
        <v>#REF!</v>
      </c>
      <c r="AE64" s="1" t="e">
        <f>AE23-#REF!</f>
        <v>#REF!</v>
      </c>
      <c r="AF64" s="1" t="e">
        <f>AF23-#REF!</f>
        <v>#REF!</v>
      </c>
      <c r="AG64" s="1" t="e">
        <f>AG23-#REF!</f>
        <v>#REF!</v>
      </c>
      <c r="AH64" s="1" t="e">
        <f>AH23-#REF!</f>
        <v>#REF!</v>
      </c>
      <c r="AI64" s="1" t="e">
        <f>AI23-#REF!</f>
        <v>#REF!</v>
      </c>
      <c r="AJ64" s="1" t="e">
        <f>AJ23-#REF!</f>
        <v>#REF!</v>
      </c>
      <c r="AK64" s="1" t="e">
        <f>AK23-#REF!</f>
        <v>#REF!</v>
      </c>
      <c r="AL64" s="1" t="e">
        <f>AL23-#REF!</f>
        <v>#REF!</v>
      </c>
      <c r="AM64" s="1" t="e">
        <f>AM23-#REF!</f>
        <v>#REF!</v>
      </c>
      <c r="AN64" s="1" t="e">
        <f>AN23-#REF!</f>
        <v>#REF!</v>
      </c>
      <c r="AO64" s="1" t="e">
        <f>AO23-#REF!</f>
        <v>#REF!</v>
      </c>
      <c r="AP64" s="1" t="e">
        <f>AP23-#REF!</f>
        <v>#REF!</v>
      </c>
      <c r="AQ64" s="1" t="e">
        <f>AQ23-#REF!</f>
        <v>#REF!</v>
      </c>
      <c r="AR64" s="1" t="e">
        <f>AR23-#REF!</f>
        <v>#REF!</v>
      </c>
      <c r="AS64" s="1" t="e">
        <f>AS23-#REF!</f>
        <v>#REF!</v>
      </c>
      <c r="AT64" s="1" t="e">
        <f>AT23-#REF!</f>
        <v>#REF!</v>
      </c>
      <c r="AU64" s="1" t="e">
        <f>AU23-#REF!</f>
        <v>#REF!</v>
      </c>
      <c r="AV64" s="1" t="e">
        <f>AV23-#REF!</f>
        <v>#REF!</v>
      </c>
      <c r="AW64" s="1" t="e">
        <f>AW23-#REF!</f>
        <v>#REF!</v>
      </c>
      <c r="AX64" s="1" t="e">
        <f>AX23-#REF!</f>
        <v>#REF!</v>
      </c>
      <c r="AY64" s="1" t="e">
        <f>AY23-#REF!</f>
        <v>#REF!</v>
      </c>
      <c r="AZ64" s="1" t="e">
        <f>AZ23-#REF!</f>
        <v>#REF!</v>
      </c>
      <c r="BA64" s="1" t="e">
        <f>BA23-#REF!</f>
        <v>#REF!</v>
      </c>
      <c r="BB64" s="1" t="e">
        <f>BB23-#REF!</f>
        <v>#REF!</v>
      </c>
      <c r="BC64" s="1" t="e">
        <f>BC23-#REF!</f>
        <v>#REF!</v>
      </c>
      <c r="BD64" s="1" t="e">
        <f>BD23-#REF!</f>
        <v>#REF!</v>
      </c>
      <c r="BE64" s="1" t="e">
        <f>BE23-#REF!</f>
        <v>#REF!</v>
      </c>
      <c r="BF64" s="1" t="e">
        <f>BF23-#REF!</f>
        <v>#REF!</v>
      </c>
      <c r="BG64" s="1" t="e">
        <f>BG23-#REF!</f>
        <v>#REF!</v>
      </c>
      <c r="BH64" s="1" t="e">
        <f>BH23-#REF!</f>
        <v>#REF!</v>
      </c>
      <c r="BI64" s="1" t="e">
        <f>BI23-#REF!</f>
        <v>#REF!</v>
      </c>
      <c r="BJ64" s="1" t="e">
        <f>BJ23-#REF!</f>
        <v>#REF!</v>
      </c>
      <c r="BK64" s="1" t="e">
        <f>BK23-#REF!</f>
        <v>#REF!</v>
      </c>
      <c r="BL64" s="1" t="e">
        <f>BL23-#REF!</f>
        <v>#REF!</v>
      </c>
      <c r="BM64" s="1" t="e">
        <f>BM23-#REF!</f>
        <v>#REF!</v>
      </c>
      <c r="BN64" s="1" t="e">
        <f>BN23-#REF!</f>
        <v>#REF!</v>
      </c>
      <c r="BO64" s="1" t="e">
        <f>BO23-#REF!</f>
        <v>#REF!</v>
      </c>
      <c r="BP64" s="1" t="e">
        <f>BP23-#REF!</f>
        <v>#REF!</v>
      </c>
      <c r="BQ64" s="1" t="e">
        <f>BQ23-#REF!</f>
        <v>#REF!</v>
      </c>
      <c r="BR64" s="1" t="e">
        <f>BR23-#REF!</f>
        <v>#REF!</v>
      </c>
      <c r="BS64" s="1" t="e">
        <f>BS23-#REF!</f>
        <v>#REF!</v>
      </c>
      <c r="BT64" s="1" t="e">
        <f>BT23-#REF!</f>
        <v>#REF!</v>
      </c>
      <c r="BU64" s="1" t="e">
        <f>BU23-#REF!</f>
        <v>#REF!</v>
      </c>
    </row>
    <row r="65" spans="13:73" hidden="1" x14ac:dyDescent="0.2">
      <c r="M65" s="1" t="e">
        <f>M24-#REF!</f>
        <v>#REF!</v>
      </c>
      <c r="N65" s="1" t="e">
        <f>N24-#REF!</f>
        <v>#REF!</v>
      </c>
      <c r="O65" s="1" t="e">
        <f>O24-#REF!</f>
        <v>#REF!</v>
      </c>
      <c r="P65" s="1" t="e">
        <f>P24-#REF!</f>
        <v>#REF!</v>
      </c>
      <c r="Q65" s="1" t="e">
        <f>Q24-#REF!</f>
        <v>#REF!</v>
      </c>
      <c r="R65" s="1" t="e">
        <f>R24-#REF!</f>
        <v>#REF!</v>
      </c>
      <c r="S65" s="1" t="e">
        <f>S24-#REF!</f>
        <v>#REF!</v>
      </c>
      <c r="T65" s="1" t="e">
        <f>T24-#REF!</f>
        <v>#REF!</v>
      </c>
      <c r="U65" s="1" t="e">
        <f>U24-#REF!</f>
        <v>#REF!</v>
      </c>
      <c r="V65" s="1" t="e">
        <f>V24-#REF!</f>
        <v>#REF!</v>
      </c>
      <c r="W65" s="1" t="e">
        <f>W24-#REF!</f>
        <v>#REF!</v>
      </c>
      <c r="X65" s="1" t="e">
        <f>X24-#REF!</f>
        <v>#REF!</v>
      </c>
      <c r="Y65" s="1" t="e">
        <f>Y24-#REF!</f>
        <v>#REF!</v>
      </c>
      <c r="Z65" s="1" t="e">
        <f>Z24-#REF!</f>
        <v>#REF!</v>
      </c>
      <c r="AA65" s="1" t="e">
        <f>AA24-#REF!</f>
        <v>#REF!</v>
      </c>
      <c r="AB65" s="1" t="e">
        <f>AB24-#REF!</f>
        <v>#REF!</v>
      </c>
      <c r="AC65" s="1" t="e">
        <f>AC24-#REF!</f>
        <v>#REF!</v>
      </c>
      <c r="AD65" s="1" t="e">
        <f>AD24-#REF!</f>
        <v>#REF!</v>
      </c>
      <c r="AE65" s="1" t="e">
        <f>AE24-#REF!</f>
        <v>#REF!</v>
      </c>
      <c r="AF65" s="1" t="e">
        <f>AF24-#REF!</f>
        <v>#REF!</v>
      </c>
      <c r="AG65" s="1" t="e">
        <f>AG24-#REF!</f>
        <v>#REF!</v>
      </c>
      <c r="AH65" s="1" t="e">
        <f>AH24-#REF!</f>
        <v>#REF!</v>
      </c>
      <c r="AI65" s="1" t="e">
        <f>AI24-#REF!</f>
        <v>#REF!</v>
      </c>
      <c r="AJ65" s="1" t="e">
        <f>AJ24-#REF!</f>
        <v>#REF!</v>
      </c>
      <c r="AK65" s="1" t="e">
        <f>AK24-#REF!</f>
        <v>#REF!</v>
      </c>
      <c r="AL65" s="1" t="e">
        <f>AL24-#REF!</f>
        <v>#REF!</v>
      </c>
      <c r="AM65" s="1" t="e">
        <f>AM24-#REF!</f>
        <v>#REF!</v>
      </c>
      <c r="AN65" s="1" t="e">
        <f>AN24-#REF!</f>
        <v>#REF!</v>
      </c>
      <c r="AO65" s="1" t="e">
        <f>AO24-#REF!</f>
        <v>#REF!</v>
      </c>
      <c r="AP65" s="1" t="e">
        <f>AP24-#REF!</f>
        <v>#REF!</v>
      </c>
      <c r="AQ65" s="1" t="e">
        <f>AQ24-#REF!</f>
        <v>#REF!</v>
      </c>
      <c r="AR65" s="1" t="e">
        <f>AR24-#REF!</f>
        <v>#REF!</v>
      </c>
      <c r="AS65" s="1" t="e">
        <f>AS24-#REF!</f>
        <v>#REF!</v>
      </c>
      <c r="AT65" s="1" t="e">
        <f>AT24-#REF!</f>
        <v>#REF!</v>
      </c>
      <c r="AU65" s="1" t="e">
        <f>AU24-#REF!</f>
        <v>#REF!</v>
      </c>
      <c r="AV65" s="1" t="e">
        <f>AV24-#REF!</f>
        <v>#REF!</v>
      </c>
      <c r="AW65" s="1" t="e">
        <f>AW24-#REF!</f>
        <v>#REF!</v>
      </c>
      <c r="AX65" s="1" t="e">
        <f>AX24-#REF!</f>
        <v>#REF!</v>
      </c>
      <c r="AY65" s="1" t="e">
        <f>AY24-#REF!</f>
        <v>#REF!</v>
      </c>
      <c r="AZ65" s="1" t="e">
        <f>AZ24-#REF!</f>
        <v>#REF!</v>
      </c>
      <c r="BA65" s="1" t="e">
        <f>BA24-#REF!</f>
        <v>#REF!</v>
      </c>
      <c r="BB65" s="1" t="e">
        <f>BB24-#REF!</f>
        <v>#REF!</v>
      </c>
      <c r="BC65" s="1" t="e">
        <f>BC24-#REF!</f>
        <v>#REF!</v>
      </c>
      <c r="BD65" s="1" t="e">
        <f>BD24-#REF!</f>
        <v>#REF!</v>
      </c>
      <c r="BE65" s="1" t="e">
        <f>BE24-#REF!</f>
        <v>#REF!</v>
      </c>
      <c r="BF65" s="1" t="e">
        <f>BF24-#REF!</f>
        <v>#REF!</v>
      </c>
      <c r="BG65" s="1" t="e">
        <f>BG24-#REF!</f>
        <v>#REF!</v>
      </c>
      <c r="BH65" s="1" t="e">
        <f>BH24-#REF!</f>
        <v>#REF!</v>
      </c>
      <c r="BI65" s="1" t="e">
        <f>BI24-#REF!</f>
        <v>#REF!</v>
      </c>
      <c r="BJ65" s="1" t="e">
        <f>BJ24-#REF!</f>
        <v>#REF!</v>
      </c>
      <c r="BK65" s="1" t="e">
        <f>BK24-#REF!</f>
        <v>#REF!</v>
      </c>
      <c r="BL65" s="1" t="e">
        <f>BL24-#REF!</f>
        <v>#REF!</v>
      </c>
      <c r="BM65" s="1" t="e">
        <f>BM24-#REF!</f>
        <v>#REF!</v>
      </c>
      <c r="BN65" s="1" t="e">
        <f>BN24-#REF!</f>
        <v>#REF!</v>
      </c>
      <c r="BO65" s="1" t="e">
        <f>BO24-#REF!</f>
        <v>#REF!</v>
      </c>
      <c r="BP65" s="1" t="e">
        <f>BP24-#REF!</f>
        <v>#REF!</v>
      </c>
      <c r="BQ65" s="1" t="e">
        <f>BQ24-#REF!</f>
        <v>#REF!</v>
      </c>
      <c r="BR65" s="1" t="e">
        <f>BR24-#REF!</f>
        <v>#REF!</v>
      </c>
      <c r="BS65" s="1" t="e">
        <f>BS24-#REF!</f>
        <v>#REF!</v>
      </c>
      <c r="BT65" s="1" t="e">
        <f>BT24-#REF!</f>
        <v>#REF!</v>
      </c>
      <c r="BU65" s="1" t="e">
        <f>BU24-#REF!</f>
        <v>#REF!</v>
      </c>
    </row>
    <row r="66" spans="13:73" hidden="1" x14ac:dyDescent="0.2">
      <c r="M66" s="1" t="e">
        <f>M25-#REF!</f>
        <v>#REF!</v>
      </c>
      <c r="N66" s="1" t="e">
        <f>N25-#REF!</f>
        <v>#REF!</v>
      </c>
      <c r="O66" s="1" t="e">
        <f>O25-#REF!</f>
        <v>#REF!</v>
      </c>
      <c r="P66" s="1" t="e">
        <f>P25-#REF!</f>
        <v>#REF!</v>
      </c>
      <c r="Q66" s="1" t="e">
        <f>Q25-#REF!</f>
        <v>#REF!</v>
      </c>
      <c r="R66" s="1" t="e">
        <f>R25-#REF!</f>
        <v>#REF!</v>
      </c>
      <c r="S66" s="1" t="e">
        <f>S25-#REF!</f>
        <v>#REF!</v>
      </c>
      <c r="T66" s="1" t="e">
        <f>T25-#REF!</f>
        <v>#REF!</v>
      </c>
      <c r="U66" s="1" t="e">
        <f>U25-#REF!</f>
        <v>#REF!</v>
      </c>
      <c r="V66" s="1" t="e">
        <f>V25-#REF!</f>
        <v>#REF!</v>
      </c>
      <c r="W66" s="1" t="e">
        <f>W25-#REF!</f>
        <v>#REF!</v>
      </c>
      <c r="X66" s="1" t="e">
        <f>X25-#REF!</f>
        <v>#REF!</v>
      </c>
      <c r="Y66" s="1" t="e">
        <f>Y25-#REF!</f>
        <v>#REF!</v>
      </c>
      <c r="Z66" s="1" t="e">
        <f>Z25-#REF!</f>
        <v>#REF!</v>
      </c>
      <c r="AA66" s="1" t="e">
        <f>AA25-#REF!</f>
        <v>#REF!</v>
      </c>
      <c r="AB66" s="1" t="e">
        <f>AB25-#REF!</f>
        <v>#REF!</v>
      </c>
      <c r="AC66" s="1" t="e">
        <f>AC25-#REF!</f>
        <v>#REF!</v>
      </c>
      <c r="AD66" s="1" t="e">
        <f>AD25-#REF!</f>
        <v>#REF!</v>
      </c>
      <c r="AE66" s="1" t="e">
        <f>AE25-#REF!</f>
        <v>#REF!</v>
      </c>
      <c r="AF66" s="1" t="e">
        <f>AF25-#REF!</f>
        <v>#REF!</v>
      </c>
      <c r="AG66" s="1" t="e">
        <f>AG25-#REF!</f>
        <v>#REF!</v>
      </c>
      <c r="AH66" s="1" t="e">
        <f>AH25-#REF!</f>
        <v>#REF!</v>
      </c>
      <c r="AI66" s="1" t="e">
        <f>AI25-#REF!</f>
        <v>#REF!</v>
      </c>
      <c r="AJ66" s="1" t="e">
        <f>AJ25-#REF!</f>
        <v>#REF!</v>
      </c>
      <c r="AK66" s="1" t="e">
        <f>AK25-#REF!</f>
        <v>#REF!</v>
      </c>
      <c r="AL66" s="1" t="e">
        <f>AL25-#REF!</f>
        <v>#REF!</v>
      </c>
      <c r="AM66" s="1" t="e">
        <f>AM25-#REF!</f>
        <v>#REF!</v>
      </c>
      <c r="AN66" s="1" t="e">
        <f>AN25-#REF!</f>
        <v>#REF!</v>
      </c>
      <c r="AO66" s="1" t="e">
        <f>AO25-#REF!</f>
        <v>#REF!</v>
      </c>
      <c r="AP66" s="1" t="e">
        <f>AP25-#REF!</f>
        <v>#REF!</v>
      </c>
      <c r="AQ66" s="1" t="e">
        <f>AQ25-#REF!</f>
        <v>#REF!</v>
      </c>
      <c r="AR66" s="1" t="e">
        <f>AR25-#REF!</f>
        <v>#REF!</v>
      </c>
      <c r="AS66" s="1" t="e">
        <f>AS25-#REF!</f>
        <v>#REF!</v>
      </c>
      <c r="AT66" s="1" t="e">
        <f>AT25-#REF!</f>
        <v>#REF!</v>
      </c>
      <c r="AU66" s="1" t="e">
        <f>AU25-#REF!</f>
        <v>#REF!</v>
      </c>
      <c r="AV66" s="1" t="e">
        <f>AV25-#REF!</f>
        <v>#REF!</v>
      </c>
      <c r="AW66" s="1" t="e">
        <f>AW25-#REF!</f>
        <v>#REF!</v>
      </c>
      <c r="AX66" s="1" t="e">
        <f>AX25-#REF!</f>
        <v>#REF!</v>
      </c>
      <c r="AY66" s="1" t="e">
        <f>AY25-#REF!</f>
        <v>#REF!</v>
      </c>
      <c r="AZ66" s="1" t="e">
        <f>AZ25-#REF!</f>
        <v>#REF!</v>
      </c>
      <c r="BA66" s="1" t="e">
        <f>BA25-#REF!</f>
        <v>#REF!</v>
      </c>
      <c r="BB66" s="1" t="e">
        <f>BB25-#REF!</f>
        <v>#REF!</v>
      </c>
      <c r="BC66" s="1" t="e">
        <f>BC25-#REF!</f>
        <v>#REF!</v>
      </c>
      <c r="BD66" s="1" t="e">
        <f>BD25-#REF!</f>
        <v>#REF!</v>
      </c>
      <c r="BE66" s="1" t="e">
        <f>BE25-#REF!</f>
        <v>#REF!</v>
      </c>
      <c r="BF66" s="1" t="e">
        <f>BF25-#REF!</f>
        <v>#REF!</v>
      </c>
      <c r="BG66" s="1" t="e">
        <f>BG25-#REF!</f>
        <v>#REF!</v>
      </c>
      <c r="BH66" s="1" t="e">
        <f>BH25-#REF!</f>
        <v>#REF!</v>
      </c>
      <c r="BI66" s="1" t="e">
        <f>BI25-#REF!</f>
        <v>#REF!</v>
      </c>
      <c r="BJ66" s="1" t="e">
        <f>BJ25-#REF!</f>
        <v>#REF!</v>
      </c>
      <c r="BK66" s="1" t="e">
        <f>BK25-#REF!</f>
        <v>#REF!</v>
      </c>
      <c r="BL66" s="1" t="e">
        <f>BL25-#REF!</f>
        <v>#REF!</v>
      </c>
      <c r="BM66" s="1" t="e">
        <f>BM25-#REF!</f>
        <v>#REF!</v>
      </c>
      <c r="BN66" s="1" t="e">
        <f>BN25-#REF!</f>
        <v>#REF!</v>
      </c>
      <c r="BO66" s="1" t="e">
        <f>BO25-#REF!</f>
        <v>#REF!</v>
      </c>
      <c r="BP66" s="1" t="e">
        <f>BP25-#REF!</f>
        <v>#REF!</v>
      </c>
      <c r="BQ66" s="1" t="e">
        <f>BQ25-#REF!</f>
        <v>#REF!</v>
      </c>
      <c r="BR66" s="1" t="e">
        <f>BR25-#REF!</f>
        <v>#REF!</v>
      </c>
      <c r="BS66" s="1" t="e">
        <f>BS25-#REF!</f>
        <v>#REF!</v>
      </c>
      <c r="BT66" s="1" t="e">
        <f>BT25-#REF!</f>
        <v>#REF!</v>
      </c>
      <c r="BU66" s="1" t="e">
        <f>BU25-#REF!</f>
        <v>#REF!</v>
      </c>
    </row>
    <row r="67" spans="13:73" hidden="1" x14ac:dyDescent="0.2">
      <c r="M67" s="1" t="e">
        <f>M26-#REF!</f>
        <v>#REF!</v>
      </c>
      <c r="N67" s="1" t="e">
        <f>N26-#REF!</f>
        <v>#REF!</v>
      </c>
      <c r="O67" s="1" t="e">
        <f>O26-#REF!</f>
        <v>#REF!</v>
      </c>
      <c r="P67" s="1" t="e">
        <f>P26-#REF!</f>
        <v>#REF!</v>
      </c>
      <c r="Q67" s="1" t="e">
        <f>Q26-#REF!</f>
        <v>#REF!</v>
      </c>
      <c r="R67" s="1" t="e">
        <f>R26-#REF!</f>
        <v>#REF!</v>
      </c>
      <c r="S67" s="1" t="e">
        <f>S26-#REF!</f>
        <v>#REF!</v>
      </c>
      <c r="T67" s="1" t="e">
        <f>T26-#REF!</f>
        <v>#REF!</v>
      </c>
      <c r="U67" s="1" t="e">
        <f>U26-#REF!</f>
        <v>#REF!</v>
      </c>
      <c r="V67" s="1" t="e">
        <f>V26-#REF!</f>
        <v>#REF!</v>
      </c>
      <c r="W67" s="1" t="e">
        <f>W26-#REF!</f>
        <v>#REF!</v>
      </c>
      <c r="X67" s="1" t="e">
        <f>X26-#REF!</f>
        <v>#REF!</v>
      </c>
      <c r="Y67" s="1" t="e">
        <f>Y26-#REF!</f>
        <v>#REF!</v>
      </c>
      <c r="Z67" s="1" t="e">
        <f>Z26-#REF!</f>
        <v>#REF!</v>
      </c>
      <c r="AA67" s="1" t="e">
        <f>AA26-#REF!</f>
        <v>#REF!</v>
      </c>
      <c r="AB67" s="1" t="e">
        <f>AB26-#REF!</f>
        <v>#REF!</v>
      </c>
      <c r="AC67" s="1" t="e">
        <f>AC26-#REF!</f>
        <v>#REF!</v>
      </c>
      <c r="AD67" s="1" t="e">
        <f>AD26-#REF!</f>
        <v>#REF!</v>
      </c>
      <c r="AE67" s="1" t="e">
        <f>AE26-#REF!</f>
        <v>#REF!</v>
      </c>
      <c r="AF67" s="1" t="e">
        <f>AF26-#REF!</f>
        <v>#REF!</v>
      </c>
      <c r="AG67" s="1" t="e">
        <f>AG26-#REF!</f>
        <v>#REF!</v>
      </c>
      <c r="AH67" s="1" t="e">
        <f>AH26-#REF!</f>
        <v>#REF!</v>
      </c>
      <c r="AI67" s="1" t="e">
        <f>AI26-#REF!</f>
        <v>#REF!</v>
      </c>
      <c r="AJ67" s="1" t="e">
        <f>AJ26-#REF!</f>
        <v>#REF!</v>
      </c>
      <c r="AK67" s="1" t="e">
        <f>AK26-#REF!</f>
        <v>#REF!</v>
      </c>
      <c r="AL67" s="1" t="e">
        <f>AL26-#REF!</f>
        <v>#REF!</v>
      </c>
      <c r="AM67" s="1" t="e">
        <f>AM26-#REF!</f>
        <v>#REF!</v>
      </c>
      <c r="AN67" s="1" t="e">
        <f>AN26-#REF!</f>
        <v>#REF!</v>
      </c>
      <c r="AO67" s="1" t="e">
        <f>AO26-#REF!</f>
        <v>#REF!</v>
      </c>
      <c r="AP67" s="1" t="e">
        <f>AP26-#REF!</f>
        <v>#REF!</v>
      </c>
      <c r="AQ67" s="1" t="e">
        <f>AQ26-#REF!</f>
        <v>#REF!</v>
      </c>
      <c r="AR67" s="1" t="e">
        <f>AR26-#REF!</f>
        <v>#REF!</v>
      </c>
      <c r="AS67" s="1" t="e">
        <f>AS26-#REF!</f>
        <v>#REF!</v>
      </c>
      <c r="AT67" s="1" t="e">
        <f>AT26-#REF!</f>
        <v>#REF!</v>
      </c>
      <c r="AU67" s="1" t="e">
        <f>AU26-#REF!</f>
        <v>#REF!</v>
      </c>
      <c r="AV67" s="1" t="e">
        <f>AV26-#REF!</f>
        <v>#REF!</v>
      </c>
      <c r="AW67" s="1" t="e">
        <f>AW26-#REF!</f>
        <v>#REF!</v>
      </c>
      <c r="AX67" s="1" t="e">
        <f>AX26-#REF!</f>
        <v>#REF!</v>
      </c>
      <c r="AY67" s="1" t="e">
        <f>AY26-#REF!</f>
        <v>#REF!</v>
      </c>
      <c r="AZ67" s="1" t="e">
        <f>AZ26-#REF!</f>
        <v>#REF!</v>
      </c>
      <c r="BA67" s="1" t="e">
        <f>BA26-#REF!</f>
        <v>#REF!</v>
      </c>
      <c r="BB67" s="1" t="e">
        <f>BB26-#REF!</f>
        <v>#REF!</v>
      </c>
      <c r="BC67" s="1" t="e">
        <f>BC26-#REF!</f>
        <v>#REF!</v>
      </c>
      <c r="BD67" s="1" t="e">
        <f>BD26-#REF!</f>
        <v>#REF!</v>
      </c>
      <c r="BE67" s="1" t="e">
        <f>BE26-#REF!</f>
        <v>#REF!</v>
      </c>
      <c r="BF67" s="1" t="e">
        <f>BF26-#REF!</f>
        <v>#REF!</v>
      </c>
      <c r="BG67" s="1" t="e">
        <f>BG26-#REF!</f>
        <v>#REF!</v>
      </c>
      <c r="BH67" s="1" t="e">
        <f>BH26-#REF!</f>
        <v>#REF!</v>
      </c>
      <c r="BI67" s="1" t="e">
        <f>BI26-#REF!</f>
        <v>#REF!</v>
      </c>
      <c r="BJ67" s="1" t="e">
        <f>BJ26-#REF!</f>
        <v>#REF!</v>
      </c>
      <c r="BK67" s="1" t="e">
        <f>BK26-#REF!</f>
        <v>#REF!</v>
      </c>
      <c r="BL67" s="1" t="e">
        <f>BL26-#REF!</f>
        <v>#REF!</v>
      </c>
      <c r="BM67" s="1" t="e">
        <f>BM26-#REF!</f>
        <v>#REF!</v>
      </c>
      <c r="BN67" s="1" t="e">
        <f>BN26-#REF!</f>
        <v>#REF!</v>
      </c>
      <c r="BO67" s="1" t="e">
        <f>BO26-#REF!</f>
        <v>#REF!</v>
      </c>
      <c r="BP67" s="1" t="e">
        <f>BP26-#REF!</f>
        <v>#REF!</v>
      </c>
      <c r="BQ67" s="1" t="e">
        <f>BQ26-#REF!</f>
        <v>#REF!</v>
      </c>
      <c r="BR67" s="1" t="e">
        <f>BR26-#REF!</f>
        <v>#REF!</v>
      </c>
      <c r="BS67" s="1" t="e">
        <f>BS26-#REF!</f>
        <v>#REF!</v>
      </c>
      <c r="BT67" s="1" t="e">
        <f>BT26-#REF!</f>
        <v>#REF!</v>
      </c>
      <c r="BU67" s="1" t="e">
        <f>BU26-#REF!</f>
        <v>#REF!</v>
      </c>
    </row>
    <row r="68" spans="13:73" hidden="1" x14ac:dyDescent="0.2">
      <c r="M68" s="1" t="e">
        <f>M27-#REF!</f>
        <v>#REF!</v>
      </c>
      <c r="N68" s="1" t="e">
        <f>N27-#REF!</f>
        <v>#REF!</v>
      </c>
      <c r="O68" s="1" t="e">
        <f>O27-#REF!</f>
        <v>#REF!</v>
      </c>
      <c r="P68" s="1" t="e">
        <f>P27-#REF!</f>
        <v>#REF!</v>
      </c>
      <c r="Q68" s="1" t="e">
        <f>Q27-#REF!</f>
        <v>#REF!</v>
      </c>
      <c r="R68" s="1" t="e">
        <f>R27-#REF!</f>
        <v>#REF!</v>
      </c>
      <c r="S68" s="1" t="e">
        <f>S27-#REF!</f>
        <v>#REF!</v>
      </c>
      <c r="T68" s="1" t="e">
        <f>T27-#REF!</f>
        <v>#REF!</v>
      </c>
      <c r="U68" s="1" t="e">
        <f>U27-#REF!</f>
        <v>#REF!</v>
      </c>
      <c r="V68" s="1" t="e">
        <f>V27-#REF!</f>
        <v>#REF!</v>
      </c>
      <c r="W68" s="1" t="e">
        <f>W27-#REF!</f>
        <v>#REF!</v>
      </c>
      <c r="X68" s="1" t="e">
        <f>X27-#REF!</f>
        <v>#REF!</v>
      </c>
      <c r="Y68" s="1" t="e">
        <f>Y27-#REF!</f>
        <v>#REF!</v>
      </c>
      <c r="Z68" s="1" t="e">
        <f>Z27-#REF!</f>
        <v>#REF!</v>
      </c>
      <c r="AA68" s="1" t="e">
        <f>AA27-#REF!</f>
        <v>#REF!</v>
      </c>
      <c r="AB68" s="1" t="e">
        <f>AB27-#REF!</f>
        <v>#REF!</v>
      </c>
      <c r="AC68" s="1" t="e">
        <f>AC27-#REF!</f>
        <v>#REF!</v>
      </c>
      <c r="AD68" s="1" t="e">
        <f>AD27-#REF!</f>
        <v>#REF!</v>
      </c>
      <c r="AE68" s="1" t="e">
        <f>AE27-#REF!</f>
        <v>#REF!</v>
      </c>
      <c r="AF68" s="1" t="e">
        <f>AF27-#REF!</f>
        <v>#REF!</v>
      </c>
      <c r="AG68" s="1" t="e">
        <f>AG27-#REF!</f>
        <v>#REF!</v>
      </c>
      <c r="AH68" s="1" t="e">
        <f>AH27-#REF!</f>
        <v>#REF!</v>
      </c>
      <c r="AI68" s="1" t="e">
        <f>AI27-#REF!</f>
        <v>#REF!</v>
      </c>
      <c r="AJ68" s="1" t="e">
        <f>AJ27-#REF!</f>
        <v>#REF!</v>
      </c>
      <c r="AK68" s="1" t="e">
        <f>AK27-#REF!</f>
        <v>#REF!</v>
      </c>
      <c r="AL68" s="1" t="e">
        <f>AL27-#REF!</f>
        <v>#REF!</v>
      </c>
      <c r="AM68" s="1" t="e">
        <f>AM27-#REF!</f>
        <v>#REF!</v>
      </c>
      <c r="AN68" s="1" t="e">
        <f>AN27-#REF!</f>
        <v>#REF!</v>
      </c>
      <c r="AO68" s="1" t="e">
        <f>AO27-#REF!</f>
        <v>#REF!</v>
      </c>
      <c r="AP68" s="1" t="e">
        <f>AP27-#REF!</f>
        <v>#REF!</v>
      </c>
      <c r="AQ68" s="1" t="e">
        <f>AQ27-#REF!</f>
        <v>#REF!</v>
      </c>
      <c r="AR68" s="1" t="e">
        <f>AR27-#REF!</f>
        <v>#REF!</v>
      </c>
      <c r="AS68" s="1" t="e">
        <f>AS27-#REF!</f>
        <v>#REF!</v>
      </c>
      <c r="AT68" s="1" t="e">
        <f>AT27-#REF!</f>
        <v>#REF!</v>
      </c>
      <c r="AU68" s="1" t="e">
        <f>AU27-#REF!</f>
        <v>#REF!</v>
      </c>
      <c r="AV68" s="1" t="e">
        <f>AV27-#REF!</f>
        <v>#REF!</v>
      </c>
      <c r="AW68" s="1" t="e">
        <f>AW27-#REF!</f>
        <v>#REF!</v>
      </c>
      <c r="AX68" s="1" t="e">
        <f>AX27-#REF!</f>
        <v>#REF!</v>
      </c>
      <c r="AY68" s="1" t="e">
        <f>AY27-#REF!</f>
        <v>#REF!</v>
      </c>
      <c r="AZ68" s="1" t="e">
        <f>AZ27-#REF!</f>
        <v>#REF!</v>
      </c>
      <c r="BA68" s="1" t="e">
        <f>BA27-#REF!</f>
        <v>#REF!</v>
      </c>
      <c r="BB68" s="1" t="e">
        <f>BB27-#REF!</f>
        <v>#REF!</v>
      </c>
      <c r="BC68" s="1" t="e">
        <f>BC27-#REF!</f>
        <v>#REF!</v>
      </c>
      <c r="BD68" s="1" t="e">
        <f>BD27-#REF!</f>
        <v>#REF!</v>
      </c>
      <c r="BE68" s="1" t="e">
        <f>BE27-#REF!</f>
        <v>#REF!</v>
      </c>
      <c r="BF68" s="1" t="e">
        <f>BF27-#REF!</f>
        <v>#REF!</v>
      </c>
      <c r="BG68" s="1" t="e">
        <f>BG27-#REF!</f>
        <v>#REF!</v>
      </c>
      <c r="BH68" s="1" t="e">
        <f>BH27-#REF!</f>
        <v>#REF!</v>
      </c>
      <c r="BI68" s="1" t="e">
        <f>BI27-#REF!</f>
        <v>#REF!</v>
      </c>
      <c r="BJ68" s="1" t="e">
        <f>BJ27-#REF!</f>
        <v>#REF!</v>
      </c>
      <c r="BK68" s="1" t="e">
        <f>BK27-#REF!</f>
        <v>#REF!</v>
      </c>
      <c r="BL68" s="1" t="e">
        <f>BL27-#REF!</f>
        <v>#REF!</v>
      </c>
      <c r="BM68" s="1" t="e">
        <f>BM27-#REF!</f>
        <v>#REF!</v>
      </c>
      <c r="BN68" s="1" t="e">
        <f>BN27-#REF!</f>
        <v>#REF!</v>
      </c>
      <c r="BO68" s="1" t="e">
        <f>BO27-#REF!</f>
        <v>#REF!</v>
      </c>
      <c r="BP68" s="1" t="e">
        <f>BP27-#REF!</f>
        <v>#REF!</v>
      </c>
      <c r="BQ68" s="1" t="e">
        <f>BQ27-#REF!</f>
        <v>#REF!</v>
      </c>
      <c r="BR68" s="1" t="e">
        <f>BR27-#REF!</f>
        <v>#REF!</v>
      </c>
      <c r="BS68" s="1" t="e">
        <f>BS27-#REF!</f>
        <v>#REF!</v>
      </c>
      <c r="BT68" s="1" t="e">
        <f>BT27-#REF!</f>
        <v>#REF!</v>
      </c>
      <c r="BU68" s="1" t="e">
        <f>BU27-#REF!</f>
        <v>#REF!</v>
      </c>
    </row>
    <row r="69" spans="13:73" hidden="1" x14ac:dyDescent="0.2">
      <c r="M69" s="1" t="e">
        <f>M28-#REF!</f>
        <v>#REF!</v>
      </c>
      <c r="N69" s="1" t="e">
        <f>N28-#REF!</f>
        <v>#REF!</v>
      </c>
      <c r="O69" s="1" t="e">
        <f>O28-#REF!</f>
        <v>#REF!</v>
      </c>
      <c r="P69" s="1" t="e">
        <f>P28-#REF!</f>
        <v>#REF!</v>
      </c>
      <c r="Q69" s="1" t="e">
        <f>Q28-#REF!</f>
        <v>#REF!</v>
      </c>
      <c r="R69" s="1" t="e">
        <f>R28-#REF!</f>
        <v>#REF!</v>
      </c>
      <c r="S69" s="1" t="e">
        <f>S28-#REF!</f>
        <v>#REF!</v>
      </c>
      <c r="T69" s="1" t="e">
        <f>T28-#REF!</f>
        <v>#REF!</v>
      </c>
      <c r="U69" s="1" t="e">
        <f>U28-#REF!</f>
        <v>#REF!</v>
      </c>
      <c r="V69" s="1" t="e">
        <f>V28-#REF!</f>
        <v>#REF!</v>
      </c>
      <c r="W69" s="1" t="e">
        <f>W28-#REF!</f>
        <v>#REF!</v>
      </c>
      <c r="X69" s="1" t="e">
        <f>X28-#REF!</f>
        <v>#REF!</v>
      </c>
      <c r="Y69" s="1" t="e">
        <f>Y28-#REF!</f>
        <v>#REF!</v>
      </c>
      <c r="Z69" s="1" t="e">
        <f>Z28-#REF!</f>
        <v>#REF!</v>
      </c>
      <c r="AA69" s="1" t="e">
        <f>AA28-#REF!</f>
        <v>#REF!</v>
      </c>
      <c r="AB69" s="1" t="e">
        <f>AB28-#REF!</f>
        <v>#REF!</v>
      </c>
      <c r="AC69" s="1" t="e">
        <f>AC28-#REF!</f>
        <v>#REF!</v>
      </c>
      <c r="AD69" s="1" t="e">
        <f>AD28-#REF!</f>
        <v>#REF!</v>
      </c>
      <c r="AE69" s="1" t="e">
        <f>AE28-#REF!</f>
        <v>#REF!</v>
      </c>
      <c r="AF69" s="1" t="e">
        <f>AF28-#REF!</f>
        <v>#REF!</v>
      </c>
      <c r="AG69" s="1" t="e">
        <f>AG28-#REF!</f>
        <v>#REF!</v>
      </c>
      <c r="AH69" s="1" t="e">
        <f>AH28-#REF!</f>
        <v>#REF!</v>
      </c>
      <c r="AI69" s="1" t="e">
        <f>AI28-#REF!</f>
        <v>#REF!</v>
      </c>
      <c r="AJ69" s="1" t="e">
        <f>AJ28-#REF!</f>
        <v>#REF!</v>
      </c>
      <c r="AK69" s="1" t="e">
        <f>AK28-#REF!</f>
        <v>#REF!</v>
      </c>
      <c r="AL69" s="1" t="e">
        <f>AL28-#REF!</f>
        <v>#REF!</v>
      </c>
      <c r="AM69" s="1" t="e">
        <f>AM28-#REF!</f>
        <v>#REF!</v>
      </c>
      <c r="AN69" s="1" t="e">
        <f>AN28-#REF!</f>
        <v>#REF!</v>
      </c>
      <c r="AO69" s="1" t="e">
        <f>AO28-#REF!</f>
        <v>#REF!</v>
      </c>
      <c r="AP69" s="1" t="e">
        <f>AP28-#REF!</f>
        <v>#REF!</v>
      </c>
      <c r="AQ69" s="1" t="e">
        <f>AQ28-#REF!</f>
        <v>#REF!</v>
      </c>
      <c r="AR69" s="1" t="e">
        <f>AR28-#REF!</f>
        <v>#REF!</v>
      </c>
      <c r="AS69" s="1" t="e">
        <f>AS28-#REF!</f>
        <v>#REF!</v>
      </c>
      <c r="AT69" s="1" t="e">
        <f>AT28-#REF!</f>
        <v>#REF!</v>
      </c>
      <c r="AU69" s="1" t="e">
        <f>AU28-#REF!</f>
        <v>#REF!</v>
      </c>
      <c r="AV69" s="1" t="e">
        <f>AV28-#REF!</f>
        <v>#REF!</v>
      </c>
      <c r="AW69" s="1" t="e">
        <f>AW28-#REF!</f>
        <v>#REF!</v>
      </c>
      <c r="AX69" s="1" t="e">
        <f>AX28-#REF!</f>
        <v>#REF!</v>
      </c>
      <c r="AY69" s="1" t="e">
        <f>AY28-#REF!</f>
        <v>#REF!</v>
      </c>
      <c r="AZ69" s="1" t="e">
        <f>AZ28-#REF!</f>
        <v>#REF!</v>
      </c>
      <c r="BA69" s="1" t="e">
        <f>BA28-#REF!</f>
        <v>#REF!</v>
      </c>
      <c r="BB69" s="1" t="e">
        <f>BB28-#REF!</f>
        <v>#REF!</v>
      </c>
      <c r="BC69" s="1" t="e">
        <f>BC28-#REF!</f>
        <v>#REF!</v>
      </c>
      <c r="BD69" s="1" t="e">
        <f>BD28-#REF!</f>
        <v>#REF!</v>
      </c>
      <c r="BE69" s="1" t="e">
        <f>BE28-#REF!</f>
        <v>#REF!</v>
      </c>
      <c r="BF69" s="1" t="e">
        <f>BF28-#REF!</f>
        <v>#REF!</v>
      </c>
      <c r="BG69" s="1" t="e">
        <f>BG28-#REF!</f>
        <v>#REF!</v>
      </c>
      <c r="BH69" s="1" t="e">
        <f>BH28-#REF!</f>
        <v>#REF!</v>
      </c>
      <c r="BI69" s="1" t="e">
        <f>BI28-#REF!</f>
        <v>#REF!</v>
      </c>
      <c r="BJ69" s="1" t="e">
        <f>BJ28-#REF!</f>
        <v>#REF!</v>
      </c>
      <c r="BK69" s="1" t="e">
        <f>BK28-#REF!</f>
        <v>#REF!</v>
      </c>
      <c r="BL69" s="1" t="e">
        <f>BL28-#REF!</f>
        <v>#REF!</v>
      </c>
      <c r="BM69" s="1" t="e">
        <f>BM28-#REF!</f>
        <v>#REF!</v>
      </c>
      <c r="BN69" s="1" t="e">
        <f>BN28-#REF!</f>
        <v>#REF!</v>
      </c>
      <c r="BO69" s="1" t="e">
        <f>BO28-#REF!</f>
        <v>#REF!</v>
      </c>
      <c r="BP69" s="1" t="e">
        <f>BP28-#REF!</f>
        <v>#REF!</v>
      </c>
      <c r="BQ69" s="1" t="e">
        <f>BQ28-#REF!</f>
        <v>#REF!</v>
      </c>
      <c r="BR69" s="1" t="e">
        <f>BR28-#REF!</f>
        <v>#REF!</v>
      </c>
      <c r="BS69" s="1" t="e">
        <f>BS28-#REF!</f>
        <v>#REF!</v>
      </c>
      <c r="BT69" s="1" t="e">
        <f>BT28-#REF!</f>
        <v>#REF!</v>
      </c>
      <c r="BU69" s="1" t="e">
        <f>BU28-#REF!</f>
        <v>#REF!</v>
      </c>
    </row>
    <row r="70" spans="13:73" hidden="1" x14ac:dyDescent="0.2">
      <c r="M70" s="1" t="e">
        <f>M29-#REF!</f>
        <v>#REF!</v>
      </c>
      <c r="N70" s="1" t="e">
        <f>N29-#REF!</f>
        <v>#REF!</v>
      </c>
      <c r="O70" s="1" t="e">
        <f>O29-#REF!</f>
        <v>#REF!</v>
      </c>
      <c r="P70" s="1" t="e">
        <f>P29-#REF!</f>
        <v>#REF!</v>
      </c>
      <c r="Q70" s="1" t="e">
        <f>Q29-#REF!</f>
        <v>#REF!</v>
      </c>
      <c r="R70" s="1" t="e">
        <f>R29-#REF!</f>
        <v>#REF!</v>
      </c>
      <c r="S70" s="1" t="e">
        <f>S29-#REF!</f>
        <v>#REF!</v>
      </c>
      <c r="T70" s="1" t="e">
        <f>T29-#REF!</f>
        <v>#REF!</v>
      </c>
      <c r="U70" s="1" t="e">
        <f>U29-#REF!</f>
        <v>#REF!</v>
      </c>
      <c r="V70" s="1" t="e">
        <f>V29-#REF!</f>
        <v>#REF!</v>
      </c>
      <c r="W70" s="1" t="e">
        <f>W29-#REF!</f>
        <v>#REF!</v>
      </c>
      <c r="X70" s="1" t="e">
        <f>X29-#REF!</f>
        <v>#REF!</v>
      </c>
      <c r="Y70" s="1" t="e">
        <f>Y29-#REF!</f>
        <v>#REF!</v>
      </c>
      <c r="Z70" s="1" t="e">
        <f>Z29-#REF!</f>
        <v>#REF!</v>
      </c>
      <c r="AA70" s="1" t="e">
        <f>AA29-#REF!</f>
        <v>#REF!</v>
      </c>
      <c r="AB70" s="1" t="e">
        <f>AB29-#REF!</f>
        <v>#REF!</v>
      </c>
      <c r="AC70" s="1" t="e">
        <f>AC29-#REF!</f>
        <v>#REF!</v>
      </c>
      <c r="AD70" s="1" t="e">
        <f>AD29-#REF!</f>
        <v>#REF!</v>
      </c>
      <c r="AE70" s="1" t="e">
        <f>AE29-#REF!</f>
        <v>#REF!</v>
      </c>
      <c r="AF70" s="1" t="e">
        <f>AF29-#REF!</f>
        <v>#REF!</v>
      </c>
      <c r="AG70" s="1" t="e">
        <f>AG29-#REF!</f>
        <v>#REF!</v>
      </c>
      <c r="AH70" s="1" t="e">
        <f>AH29-#REF!</f>
        <v>#REF!</v>
      </c>
      <c r="AI70" s="1" t="e">
        <f>AI29-#REF!</f>
        <v>#REF!</v>
      </c>
      <c r="AJ70" s="1" t="e">
        <f>AJ29-#REF!</f>
        <v>#REF!</v>
      </c>
      <c r="AK70" s="1" t="e">
        <f>AK29-#REF!</f>
        <v>#REF!</v>
      </c>
      <c r="AL70" s="1" t="e">
        <f>AL29-#REF!</f>
        <v>#REF!</v>
      </c>
      <c r="AM70" s="1" t="e">
        <f>AM29-#REF!</f>
        <v>#REF!</v>
      </c>
      <c r="AN70" s="1" t="e">
        <f>AN29-#REF!</f>
        <v>#REF!</v>
      </c>
      <c r="AO70" s="1" t="e">
        <f>AO29-#REF!</f>
        <v>#REF!</v>
      </c>
      <c r="AP70" s="1" t="e">
        <f>AP29-#REF!</f>
        <v>#REF!</v>
      </c>
      <c r="AQ70" s="1" t="e">
        <f>AQ29-#REF!</f>
        <v>#REF!</v>
      </c>
      <c r="AR70" s="1" t="e">
        <f>AR29-#REF!</f>
        <v>#REF!</v>
      </c>
      <c r="AS70" s="1" t="e">
        <f>AS29-#REF!</f>
        <v>#REF!</v>
      </c>
      <c r="AT70" s="1" t="e">
        <f>AT29-#REF!</f>
        <v>#REF!</v>
      </c>
      <c r="AU70" s="1" t="e">
        <f>AU29-#REF!</f>
        <v>#REF!</v>
      </c>
      <c r="AV70" s="1" t="e">
        <f>AV29-#REF!</f>
        <v>#REF!</v>
      </c>
      <c r="AW70" s="1" t="e">
        <f>AW29-#REF!</f>
        <v>#REF!</v>
      </c>
      <c r="AX70" s="1" t="e">
        <f>AX29-#REF!</f>
        <v>#REF!</v>
      </c>
      <c r="AY70" s="1" t="e">
        <f>AY29-#REF!</f>
        <v>#REF!</v>
      </c>
      <c r="AZ70" s="1" t="e">
        <f>AZ29-#REF!</f>
        <v>#REF!</v>
      </c>
      <c r="BA70" s="1" t="e">
        <f>BA29-#REF!</f>
        <v>#REF!</v>
      </c>
      <c r="BB70" s="1" t="e">
        <f>BB29-#REF!</f>
        <v>#REF!</v>
      </c>
      <c r="BC70" s="1" t="e">
        <f>BC29-#REF!</f>
        <v>#REF!</v>
      </c>
      <c r="BD70" s="1" t="e">
        <f>BD29-#REF!</f>
        <v>#REF!</v>
      </c>
      <c r="BE70" s="1" t="e">
        <f>BE29-#REF!</f>
        <v>#REF!</v>
      </c>
      <c r="BF70" s="1" t="e">
        <f>BF29-#REF!</f>
        <v>#REF!</v>
      </c>
      <c r="BG70" s="1" t="e">
        <f>BG29-#REF!</f>
        <v>#REF!</v>
      </c>
      <c r="BH70" s="1" t="e">
        <f>BH29-#REF!</f>
        <v>#REF!</v>
      </c>
      <c r="BI70" s="1" t="e">
        <f>BI29-#REF!</f>
        <v>#REF!</v>
      </c>
      <c r="BJ70" s="1" t="e">
        <f>BJ29-#REF!</f>
        <v>#REF!</v>
      </c>
      <c r="BK70" s="1" t="e">
        <f>BK29-#REF!</f>
        <v>#REF!</v>
      </c>
      <c r="BL70" s="1" t="e">
        <f>BL29-#REF!</f>
        <v>#REF!</v>
      </c>
      <c r="BM70" s="1" t="e">
        <f>BM29-#REF!</f>
        <v>#REF!</v>
      </c>
      <c r="BN70" s="1" t="e">
        <f>BN29-#REF!</f>
        <v>#REF!</v>
      </c>
      <c r="BO70" s="1" t="e">
        <f>BO29-#REF!</f>
        <v>#REF!</v>
      </c>
      <c r="BP70" s="1" t="e">
        <f>BP29-#REF!</f>
        <v>#REF!</v>
      </c>
      <c r="BQ70" s="1" t="e">
        <f>BQ29-#REF!</f>
        <v>#REF!</v>
      </c>
      <c r="BR70" s="1" t="e">
        <f>BR29-#REF!</f>
        <v>#REF!</v>
      </c>
      <c r="BS70" s="1" t="e">
        <f>BS29-#REF!</f>
        <v>#REF!</v>
      </c>
      <c r="BT70" s="1" t="e">
        <f>BT29-#REF!</f>
        <v>#REF!</v>
      </c>
      <c r="BU70" s="1" t="e">
        <f>BU29-#REF!</f>
        <v>#REF!</v>
      </c>
    </row>
    <row r="71" spans="13:73" hidden="1" x14ac:dyDescent="0.2">
      <c r="M71" s="1" t="e">
        <f>M30-#REF!</f>
        <v>#REF!</v>
      </c>
      <c r="N71" s="1" t="e">
        <f>N30-#REF!</f>
        <v>#REF!</v>
      </c>
      <c r="O71" s="1" t="e">
        <f>O30-#REF!</f>
        <v>#REF!</v>
      </c>
      <c r="P71" s="1" t="e">
        <f>P30-#REF!</f>
        <v>#REF!</v>
      </c>
      <c r="Q71" s="1" t="e">
        <f>Q30-#REF!</f>
        <v>#REF!</v>
      </c>
      <c r="R71" s="1" t="e">
        <f>R30-#REF!</f>
        <v>#REF!</v>
      </c>
      <c r="S71" s="1" t="e">
        <f>S30-#REF!</f>
        <v>#REF!</v>
      </c>
      <c r="T71" s="1" t="e">
        <f>T30-#REF!</f>
        <v>#REF!</v>
      </c>
      <c r="U71" s="1" t="e">
        <f>U30-#REF!</f>
        <v>#REF!</v>
      </c>
      <c r="V71" s="1" t="e">
        <f>V30-#REF!</f>
        <v>#REF!</v>
      </c>
      <c r="W71" s="1" t="e">
        <f>W30-#REF!</f>
        <v>#REF!</v>
      </c>
      <c r="X71" s="1" t="e">
        <f>X30-#REF!</f>
        <v>#REF!</v>
      </c>
      <c r="Y71" s="1" t="e">
        <f>Y30-#REF!</f>
        <v>#REF!</v>
      </c>
      <c r="Z71" s="1" t="e">
        <f>Z30-#REF!</f>
        <v>#REF!</v>
      </c>
      <c r="AA71" s="1" t="e">
        <f>AA30-#REF!</f>
        <v>#REF!</v>
      </c>
      <c r="AB71" s="1" t="e">
        <f>AB30-#REF!</f>
        <v>#REF!</v>
      </c>
      <c r="AC71" s="1" t="e">
        <f>AC30-#REF!</f>
        <v>#REF!</v>
      </c>
      <c r="AD71" s="1" t="e">
        <f>AD30-#REF!</f>
        <v>#REF!</v>
      </c>
      <c r="AE71" s="1" t="e">
        <f>AE30-#REF!</f>
        <v>#REF!</v>
      </c>
      <c r="AF71" s="1" t="e">
        <f>AF30-#REF!</f>
        <v>#REF!</v>
      </c>
      <c r="AG71" s="1" t="e">
        <f>AG30-#REF!</f>
        <v>#REF!</v>
      </c>
      <c r="AH71" s="1" t="e">
        <f>AH30-#REF!</f>
        <v>#REF!</v>
      </c>
      <c r="AI71" s="1" t="e">
        <f>AI30-#REF!</f>
        <v>#REF!</v>
      </c>
      <c r="AJ71" s="1" t="e">
        <f>AJ30-#REF!</f>
        <v>#REF!</v>
      </c>
      <c r="AK71" s="1" t="e">
        <f>AK30-#REF!</f>
        <v>#REF!</v>
      </c>
      <c r="AL71" s="1" t="e">
        <f>AL30-#REF!</f>
        <v>#REF!</v>
      </c>
      <c r="AM71" s="1" t="e">
        <f>AM30-#REF!</f>
        <v>#REF!</v>
      </c>
      <c r="AN71" s="1" t="e">
        <f>AN30-#REF!</f>
        <v>#REF!</v>
      </c>
      <c r="AO71" s="1" t="e">
        <f>AO30-#REF!</f>
        <v>#REF!</v>
      </c>
      <c r="AP71" s="1" t="e">
        <f>AP30-#REF!</f>
        <v>#REF!</v>
      </c>
      <c r="AQ71" s="1" t="e">
        <f>AQ30-#REF!</f>
        <v>#REF!</v>
      </c>
      <c r="AR71" s="1" t="e">
        <f>AR30-#REF!</f>
        <v>#REF!</v>
      </c>
      <c r="AS71" s="1" t="e">
        <f>AS30-#REF!</f>
        <v>#REF!</v>
      </c>
      <c r="AT71" s="1" t="e">
        <f>AT30-#REF!</f>
        <v>#REF!</v>
      </c>
      <c r="AU71" s="1" t="e">
        <f>AU30-#REF!</f>
        <v>#REF!</v>
      </c>
      <c r="AV71" s="1" t="e">
        <f>AV30-#REF!</f>
        <v>#REF!</v>
      </c>
      <c r="AW71" s="1" t="e">
        <f>AW30-#REF!</f>
        <v>#REF!</v>
      </c>
      <c r="AX71" s="1" t="e">
        <f>AX30-#REF!</f>
        <v>#REF!</v>
      </c>
      <c r="AY71" s="1" t="e">
        <f>AY30-#REF!</f>
        <v>#REF!</v>
      </c>
      <c r="AZ71" s="1" t="e">
        <f>AZ30-#REF!</f>
        <v>#REF!</v>
      </c>
      <c r="BA71" s="1" t="e">
        <f>BA30-#REF!</f>
        <v>#REF!</v>
      </c>
      <c r="BB71" s="1" t="e">
        <f>BB30-#REF!</f>
        <v>#REF!</v>
      </c>
      <c r="BC71" s="1" t="e">
        <f>BC30-#REF!</f>
        <v>#REF!</v>
      </c>
      <c r="BD71" s="1" t="e">
        <f>BD30-#REF!</f>
        <v>#REF!</v>
      </c>
      <c r="BE71" s="1" t="e">
        <f>BE30-#REF!</f>
        <v>#REF!</v>
      </c>
      <c r="BF71" s="1" t="e">
        <f>BF30-#REF!</f>
        <v>#REF!</v>
      </c>
      <c r="BG71" s="1" t="e">
        <f>BG30-#REF!</f>
        <v>#REF!</v>
      </c>
      <c r="BH71" s="1" t="e">
        <f>BH30-#REF!</f>
        <v>#REF!</v>
      </c>
      <c r="BI71" s="1" t="e">
        <f>BI30-#REF!</f>
        <v>#REF!</v>
      </c>
      <c r="BJ71" s="1" t="e">
        <f>BJ30-#REF!</f>
        <v>#REF!</v>
      </c>
      <c r="BK71" s="1" t="e">
        <f>BK30-#REF!</f>
        <v>#REF!</v>
      </c>
      <c r="BL71" s="1" t="e">
        <f>BL30-#REF!</f>
        <v>#REF!</v>
      </c>
      <c r="BM71" s="1" t="e">
        <f>BM30-#REF!</f>
        <v>#REF!</v>
      </c>
      <c r="BN71" s="1" t="e">
        <f>BN30-#REF!</f>
        <v>#REF!</v>
      </c>
      <c r="BO71" s="1" t="e">
        <f>BO30-#REF!</f>
        <v>#REF!</v>
      </c>
      <c r="BP71" s="1" t="e">
        <f>BP30-#REF!</f>
        <v>#REF!</v>
      </c>
      <c r="BQ71" s="1" t="e">
        <f>BQ30-#REF!</f>
        <v>#REF!</v>
      </c>
      <c r="BR71" s="1" t="e">
        <f>BR30-#REF!</f>
        <v>#REF!</v>
      </c>
      <c r="BS71" s="1" t="e">
        <f>BS30-#REF!</f>
        <v>#REF!</v>
      </c>
      <c r="BT71" s="1" t="e">
        <f>BT30-#REF!</f>
        <v>#REF!</v>
      </c>
      <c r="BU71" s="1" t="e">
        <f>BU30-#REF!</f>
        <v>#REF!</v>
      </c>
    </row>
    <row r="72" spans="13:73" hidden="1" x14ac:dyDescent="0.2">
      <c r="M72" s="1" t="e">
        <f>M31-#REF!</f>
        <v>#REF!</v>
      </c>
      <c r="N72" s="1" t="e">
        <f>N31-#REF!</f>
        <v>#REF!</v>
      </c>
      <c r="O72" s="1" t="e">
        <f>O31-#REF!</f>
        <v>#REF!</v>
      </c>
      <c r="P72" s="1" t="e">
        <f>P31-#REF!</f>
        <v>#REF!</v>
      </c>
      <c r="Q72" s="1" t="e">
        <f>Q31-#REF!</f>
        <v>#REF!</v>
      </c>
      <c r="R72" s="1" t="e">
        <f>R31-#REF!</f>
        <v>#REF!</v>
      </c>
      <c r="S72" s="1" t="e">
        <f>S31-#REF!</f>
        <v>#REF!</v>
      </c>
      <c r="T72" s="1" t="e">
        <f>T31-#REF!</f>
        <v>#REF!</v>
      </c>
      <c r="U72" s="1" t="e">
        <f>U31-#REF!</f>
        <v>#REF!</v>
      </c>
      <c r="V72" s="1" t="e">
        <f>V31-#REF!</f>
        <v>#REF!</v>
      </c>
      <c r="W72" s="1" t="e">
        <f>W31-#REF!</f>
        <v>#REF!</v>
      </c>
      <c r="X72" s="1" t="e">
        <f>X31-#REF!</f>
        <v>#REF!</v>
      </c>
      <c r="Y72" s="1" t="e">
        <f>Y31-#REF!</f>
        <v>#REF!</v>
      </c>
      <c r="Z72" s="1" t="e">
        <f>Z31-#REF!</f>
        <v>#REF!</v>
      </c>
      <c r="AA72" s="1" t="e">
        <f>AA31-#REF!</f>
        <v>#REF!</v>
      </c>
      <c r="AB72" s="1" t="e">
        <f>AB31-#REF!</f>
        <v>#REF!</v>
      </c>
      <c r="AC72" s="1" t="e">
        <f>AC31-#REF!</f>
        <v>#REF!</v>
      </c>
      <c r="AD72" s="1" t="e">
        <f>AD31-#REF!</f>
        <v>#REF!</v>
      </c>
      <c r="AE72" s="1" t="e">
        <f>AE31-#REF!</f>
        <v>#REF!</v>
      </c>
      <c r="AF72" s="1" t="e">
        <f>AF31-#REF!</f>
        <v>#REF!</v>
      </c>
      <c r="AG72" s="1" t="e">
        <f>AG31-#REF!</f>
        <v>#REF!</v>
      </c>
      <c r="AH72" s="1" t="e">
        <f>AH31-#REF!</f>
        <v>#REF!</v>
      </c>
      <c r="AI72" s="1" t="e">
        <f>AI31-#REF!</f>
        <v>#REF!</v>
      </c>
      <c r="AJ72" s="1" t="e">
        <f>AJ31-#REF!</f>
        <v>#REF!</v>
      </c>
      <c r="AK72" s="1" t="e">
        <f>AK31-#REF!</f>
        <v>#REF!</v>
      </c>
      <c r="AL72" s="1" t="e">
        <f>AL31-#REF!</f>
        <v>#REF!</v>
      </c>
      <c r="AM72" s="1" t="e">
        <f>AM31-#REF!</f>
        <v>#REF!</v>
      </c>
      <c r="AN72" s="1" t="e">
        <f>AN31-#REF!</f>
        <v>#REF!</v>
      </c>
      <c r="AO72" s="1" t="e">
        <f>AO31-#REF!</f>
        <v>#REF!</v>
      </c>
      <c r="AP72" s="1" t="e">
        <f>AP31-#REF!</f>
        <v>#REF!</v>
      </c>
      <c r="AQ72" s="1" t="e">
        <f>AQ31-#REF!</f>
        <v>#REF!</v>
      </c>
      <c r="AR72" s="1" t="e">
        <f>AR31-#REF!</f>
        <v>#REF!</v>
      </c>
      <c r="AS72" s="1" t="e">
        <f>AS31-#REF!</f>
        <v>#REF!</v>
      </c>
      <c r="AT72" s="1" t="e">
        <f>AT31-#REF!</f>
        <v>#REF!</v>
      </c>
      <c r="AU72" s="1" t="e">
        <f>AU31-#REF!</f>
        <v>#REF!</v>
      </c>
      <c r="AV72" s="1" t="e">
        <f>AV31-#REF!</f>
        <v>#REF!</v>
      </c>
      <c r="AW72" s="1" t="e">
        <f>AW31-#REF!</f>
        <v>#REF!</v>
      </c>
      <c r="AX72" s="1" t="e">
        <f>AX31-#REF!</f>
        <v>#REF!</v>
      </c>
      <c r="AY72" s="1" t="e">
        <f>AY31-#REF!</f>
        <v>#REF!</v>
      </c>
      <c r="AZ72" s="1" t="e">
        <f>AZ31-#REF!</f>
        <v>#REF!</v>
      </c>
      <c r="BA72" s="1" t="e">
        <f>BA31-#REF!</f>
        <v>#REF!</v>
      </c>
      <c r="BB72" s="1" t="e">
        <f>BB31-#REF!</f>
        <v>#REF!</v>
      </c>
      <c r="BC72" s="1" t="e">
        <f>BC31-#REF!</f>
        <v>#REF!</v>
      </c>
      <c r="BD72" s="1" t="e">
        <f>BD31-#REF!</f>
        <v>#REF!</v>
      </c>
      <c r="BE72" s="1" t="e">
        <f>BE31-#REF!</f>
        <v>#REF!</v>
      </c>
      <c r="BF72" s="1" t="e">
        <f>BF31-#REF!</f>
        <v>#REF!</v>
      </c>
      <c r="BG72" s="1" t="e">
        <f>BG31-#REF!</f>
        <v>#REF!</v>
      </c>
      <c r="BH72" s="1" t="e">
        <f>BH31-#REF!</f>
        <v>#REF!</v>
      </c>
      <c r="BI72" s="1" t="e">
        <f>BI31-#REF!</f>
        <v>#REF!</v>
      </c>
      <c r="BJ72" s="1" t="e">
        <f>BJ31-#REF!</f>
        <v>#REF!</v>
      </c>
      <c r="BK72" s="1" t="e">
        <f>BK31-#REF!</f>
        <v>#REF!</v>
      </c>
      <c r="BL72" s="1" t="e">
        <f>BL31-#REF!</f>
        <v>#REF!</v>
      </c>
      <c r="BM72" s="1" t="e">
        <f>BM31-#REF!</f>
        <v>#REF!</v>
      </c>
      <c r="BN72" s="1" t="e">
        <f>BN31-#REF!</f>
        <v>#REF!</v>
      </c>
      <c r="BO72" s="1" t="e">
        <f>BO31-#REF!</f>
        <v>#REF!</v>
      </c>
      <c r="BP72" s="1" t="e">
        <f>BP31-#REF!</f>
        <v>#REF!</v>
      </c>
      <c r="BQ72" s="1" t="e">
        <f>BQ31-#REF!</f>
        <v>#REF!</v>
      </c>
      <c r="BR72" s="1" t="e">
        <f>BR31-#REF!</f>
        <v>#REF!</v>
      </c>
      <c r="BS72" s="1" t="e">
        <f>BS31-#REF!</f>
        <v>#REF!</v>
      </c>
      <c r="BT72" s="1" t="e">
        <f>BT31-#REF!</f>
        <v>#REF!</v>
      </c>
      <c r="BU72" s="1" t="e">
        <f>BU31-#REF!</f>
        <v>#REF!</v>
      </c>
    </row>
    <row r="73" spans="13:73" hidden="1" x14ac:dyDescent="0.2">
      <c r="M73" s="1" t="e">
        <f>M32-#REF!</f>
        <v>#REF!</v>
      </c>
      <c r="N73" s="1" t="e">
        <f>N32-#REF!</f>
        <v>#REF!</v>
      </c>
      <c r="O73" s="1" t="e">
        <f>O32-#REF!</f>
        <v>#REF!</v>
      </c>
      <c r="P73" s="1" t="e">
        <f>P32-#REF!</f>
        <v>#REF!</v>
      </c>
      <c r="Q73" s="1" t="e">
        <f>Q32-#REF!</f>
        <v>#REF!</v>
      </c>
      <c r="R73" s="1" t="e">
        <f>R32-#REF!</f>
        <v>#REF!</v>
      </c>
      <c r="S73" s="1" t="e">
        <f>S32-#REF!</f>
        <v>#REF!</v>
      </c>
      <c r="T73" s="1" t="e">
        <f>T32-#REF!</f>
        <v>#REF!</v>
      </c>
      <c r="U73" s="1" t="e">
        <f>U32-#REF!</f>
        <v>#REF!</v>
      </c>
      <c r="V73" s="1" t="e">
        <f>V32-#REF!</f>
        <v>#REF!</v>
      </c>
      <c r="W73" s="1" t="e">
        <f>W32-#REF!</f>
        <v>#REF!</v>
      </c>
      <c r="X73" s="1" t="e">
        <f>X32-#REF!</f>
        <v>#REF!</v>
      </c>
      <c r="Y73" s="1" t="e">
        <f>Y32-#REF!</f>
        <v>#REF!</v>
      </c>
      <c r="Z73" s="1" t="e">
        <f>Z32-#REF!</f>
        <v>#REF!</v>
      </c>
      <c r="AA73" s="1" t="e">
        <f>AA32-#REF!</f>
        <v>#REF!</v>
      </c>
      <c r="AB73" s="1" t="e">
        <f>AB32-#REF!</f>
        <v>#REF!</v>
      </c>
      <c r="AC73" s="1" t="e">
        <f>AC32-#REF!</f>
        <v>#REF!</v>
      </c>
      <c r="AD73" s="1" t="e">
        <f>AD32-#REF!</f>
        <v>#REF!</v>
      </c>
      <c r="AE73" s="1" t="e">
        <f>AE32-#REF!</f>
        <v>#REF!</v>
      </c>
      <c r="AF73" s="1" t="e">
        <f>AF32-#REF!</f>
        <v>#REF!</v>
      </c>
      <c r="AG73" s="1" t="e">
        <f>AG32-#REF!</f>
        <v>#REF!</v>
      </c>
      <c r="AH73" s="1" t="e">
        <f>AH32-#REF!</f>
        <v>#REF!</v>
      </c>
      <c r="AI73" s="1" t="e">
        <f>AI32-#REF!</f>
        <v>#REF!</v>
      </c>
      <c r="AJ73" s="1" t="e">
        <f>AJ32-#REF!</f>
        <v>#REF!</v>
      </c>
      <c r="AK73" s="1" t="e">
        <f>AK32-#REF!</f>
        <v>#REF!</v>
      </c>
      <c r="AL73" s="1" t="e">
        <f>AL32-#REF!</f>
        <v>#REF!</v>
      </c>
      <c r="AM73" s="1" t="e">
        <f>AM32-#REF!</f>
        <v>#REF!</v>
      </c>
      <c r="AN73" s="1" t="e">
        <f>AN32-#REF!</f>
        <v>#REF!</v>
      </c>
      <c r="AO73" s="1" t="e">
        <f>AO32-#REF!</f>
        <v>#REF!</v>
      </c>
      <c r="AP73" s="1" t="e">
        <f>AP32-#REF!</f>
        <v>#REF!</v>
      </c>
      <c r="AQ73" s="1" t="e">
        <f>AQ32-#REF!</f>
        <v>#REF!</v>
      </c>
      <c r="AR73" s="1" t="e">
        <f>AR32-#REF!</f>
        <v>#REF!</v>
      </c>
      <c r="AS73" s="1" t="e">
        <f>AS32-#REF!</f>
        <v>#REF!</v>
      </c>
      <c r="AT73" s="1" t="e">
        <f>AT32-#REF!</f>
        <v>#REF!</v>
      </c>
      <c r="AU73" s="1" t="e">
        <f>AU32-#REF!</f>
        <v>#REF!</v>
      </c>
      <c r="AV73" s="1" t="e">
        <f>AV32-#REF!</f>
        <v>#REF!</v>
      </c>
      <c r="AW73" s="1" t="e">
        <f>AW32-#REF!</f>
        <v>#REF!</v>
      </c>
      <c r="AX73" s="1" t="e">
        <f>AX32-#REF!</f>
        <v>#REF!</v>
      </c>
      <c r="AY73" s="1" t="e">
        <f>AY32-#REF!</f>
        <v>#REF!</v>
      </c>
      <c r="AZ73" s="1" t="e">
        <f>AZ32-#REF!</f>
        <v>#REF!</v>
      </c>
      <c r="BA73" s="1" t="e">
        <f>BA32-#REF!</f>
        <v>#REF!</v>
      </c>
      <c r="BB73" s="1" t="e">
        <f>BB32-#REF!</f>
        <v>#REF!</v>
      </c>
      <c r="BC73" s="1" t="e">
        <f>BC32-#REF!</f>
        <v>#REF!</v>
      </c>
      <c r="BD73" s="1" t="e">
        <f>BD32-#REF!</f>
        <v>#REF!</v>
      </c>
      <c r="BE73" s="1" t="e">
        <f>BE32-#REF!</f>
        <v>#REF!</v>
      </c>
      <c r="BF73" s="1" t="e">
        <f>BF32-#REF!</f>
        <v>#REF!</v>
      </c>
      <c r="BG73" s="1" t="e">
        <f>BG32-#REF!</f>
        <v>#REF!</v>
      </c>
      <c r="BH73" s="1" t="e">
        <f>BH32-#REF!</f>
        <v>#REF!</v>
      </c>
      <c r="BI73" s="1" t="e">
        <f>BI32-#REF!</f>
        <v>#REF!</v>
      </c>
      <c r="BJ73" s="1" t="e">
        <f>BJ32-#REF!</f>
        <v>#REF!</v>
      </c>
      <c r="BK73" s="1" t="e">
        <f>BK32-#REF!</f>
        <v>#REF!</v>
      </c>
      <c r="BL73" s="1" t="e">
        <f>BL32-#REF!</f>
        <v>#REF!</v>
      </c>
      <c r="BM73" s="1" t="e">
        <f>BM32-#REF!</f>
        <v>#REF!</v>
      </c>
      <c r="BN73" s="1" t="e">
        <f>BN32-#REF!</f>
        <v>#REF!</v>
      </c>
      <c r="BO73" s="1" t="e">
        <f>BO32-#REF!</f>
        <v>#REF!</v>
      </c>
      <c r="BP73" s="1" t="e">
        <f>BP32-#REF!</f>
        <v>#REF!</v>
      </c>
      <c r="BQ73" s="1" t="e">
        <f>BQ32-#REF!</f>
        <v>#REF!</v>
      </c>
      <c r="BR73" s="1" t="e">
        <f>BR32-#REF!</f>
        <v>#REF!</v>
      </c>
      <c r="BS73" s="1" t="e">
        <f>BS32-#REF!</f>
        <v>#REF!</v>
      </c>
      <c r="BT73" s="1" t="e">
        <f>BT32-#REF!</f>
        <v>#REF!</v>
      </c>
      <c r="BU73" s="1" t="e">
        <f>BU32-#REF!</f>
        <v>#REF!</v>
      </c>
    </row>
    <row r="74" spans="13:73" hidden="1" x14ac:dyDescent="0.2">
      <c r="M74" s="1" t="e">
        <f>M33-#REF!</f>
        <v>#REF!</v>
      </c>
      <c r="N74" s="1" t="e">
        <f>N33-#REF!</f>
        <v>#REF!</v>
      </c>
      <c r="O74" s="1" t="e">
        <f>O33-#REF!</f>
        <v>#REF!</v>
      </c>
      <c r="P74" s="1" t="e">
        <f>P33-#REF!</f>
        <v>#REF!</v>
      </c>
      <c r="Q74" s="1" t="e">
        <f>Q33-#REF!</f>
        <v>#REF!</v>
      </c>
      <c r="R74" s="1" t="e">
        <f>R33-#REF!</f>
        <v>#REF!</v>
      </c>
      <c r="S74" s="1" t="e">
        <f>S33-#REF!</f>
        <v>#REF!</v>
      </c>
      <c r="T74" s="1" t="e">
        <f>T33-#REF!</f>
        <v>#REF!</v>
      </c>
      <c r="U74" s="1" t="e">
        <f>U33-#REF!</f>
        <v>#REF!</v>
      </c>
      <c r="V74" s="1" t="e">
        <f>V33-#REF!</f>
        <v>#REF!</v>
      </c>
      <c r="W74" s="1" t="e">
        <f>W33-#REF!</f>
        <v>#REF!</v>
      </c>
      <c r="X74" s="1" t="e">
        <f>X33-#REF!</f>
        <v>#REF!</v>
      </c>
      <c r="Y74" s="1" t="e">
        <f>Y33-#REF!</f>
        <v>#REF!</v>
      </c>
      <c r="Z74" s="1" t="e">
        <f>Z33-#REF!</f>
        <v>#REF!</v>
      </c>
      <c r="AA74" s="1" t="e">
        <f>AA33-#REF!</f>
        <v>#REF!</v>
      </c>
      <c r="AB74" s="1" t="e">
        <f>AB33-#REF!</f>
        <v>#REF!</v>
      </c>
      <c r="AC74" s="1" t="e">
        <f>AC33-#REF!</f>
        <v>#REF!</v>
      </c>
      <c r="AD74" s="1" t="e">
        <f>AD33-#REF!</f>
        <v>#REF!</v>
      </c>
      <c r="AE74" s="1" t="e">
        <f>AE33-#REF!</f>
        <v>#REF!</v>
      </c>
      <c r="AF74" s="1" t="e">
        <f>AF33-#REF!</f>
        <v>#REF!</v>
      </c>
      <c r="AG74" s="1" t="e">
        <f>AG33-#REF!</f>
        <v>#REF!</v>
      </c>
      <c r="AH74" s="1" t="e">
        <f>AH33-#REF!</f>
        <v>#REF!</v>
      </c>
      <c r="AI74" s="1" t="e">
        <f>AI33-#REF!</f>
        <v>#REF!</v>
      </c>
      <c r="AJ74" s="1" t="e">
        <f>AJ33-#REF!</f>
        <v>#REF!</v>
      </c>
      <c r="AK74" s="1" t="e">
        <f>AK33-#REF!</f>
        <v>#REF!</v>
      </c>
      <c r="AL74" s="1" t="e">
        <f>AL33-#REF!</f>
        <v>#REF!</v>
      </c>
      <c r="AM74" s="1" t="e">
        <f>AM33-#REF!</f>
        <v>#REF!</v>
      </c>
      <c r="AN74" s="1" t="e">
        <f>AN33-#REF!</f>
        <v>#REF!</v>
      </c>
      <c r="AO74" s="1" t="e">
        <f>AO33-#REF!</f>
        <v>#REF!</v>
      </c>
      <c r="AP74" s="1" t="e">
        <f>AP33-#REF!</f>
        <v>#REF!</v>
      </c>
      <c r="AQ74" s="1" t="e">
        <f>AQ33-#REF!</f>
        <v>#REF!</v>
      </c>
      <c r="AR74" s="1" t="e">
        <f>AR33-#REF!</f>
        <v>#REF!</v>
      </c>
      <c r="AS74" s="1" t="e">
        <f>AS33-#REF!</f>
        <v>#REF!</v>
      </c>
      <c r="AT74" s="1" t="e">
        <f>AT33-#REF!</f>
        <v>#REF!</v>
      </c>
      <c r="AU74" s="1" t="e">
        <f>AU33-#REF!</f>
        <v>#REF!</v>
      </c>
      <c r="AV74" s="1" t="e">
        <f>AV33-#REF!</f>
        <v>#REF!</v>
      </c>
      <c r="AW74" s="1" t="e">
        <f>AW33-#REF!</f>
        <v>#REF!</v>
      </c>
      <c r="AX74" s="1" t="e">
        <f>AX33-#REF!</f>
        <v>#REF!</v>
      </c>
      <c r="AY74" s="1" t="e">
        <f>AY33-#REF!</f>
        <v>#REF!</v>
      </c>
      <c r="AZ74" s="1" t="e">
        <f>AZ33-#REF!</f>
        <v>#REF!</v>
      </c>
      <c r="BA74" s="1" t="e">
        <f>BA33-#REF!</f>
        <v>#REF!</v>
      </c>
      <c r="BB74" s="1" t="e">
        <f>BB33-#REF!</f>
        <v>#REF!</v>
      </c>
      <c r="BC74" s="1" t="e">
        <f>BC33-#REF!</f>
        <v>#REF!</v>
      </c>
      <c r="BD74" s="1" t="e">
        <f>BD33-#REF!</f>
        <v>#REF!</v>
      </c>
      <c r="BE74" s="1" t="e">
        <f>BE33-#REF!</f>
        <v>#REF!</v>
      </c>
      <c r="BF74" s="1" t="e">
        <f>BF33-#REF!</f>
        <v>#REF!</v>
      </c>
      <c r="BG74" s="1" t="e">
        <f>BG33-#REF!</f>
        <v>#REF!</v>
      </c>
      <c r="BH74" s="1" t="e">
        <f>BH33-#REF!</f>
        <v>#REF!</v>
      </c>
      <c r="BI74" s="1" t="e">
        <f>BI33-#REF!</f>
        <v>#REF!</v>
      </c>
      <c r="BJ74" s="1" t="e">
        <f>BJ33-#REF!</f>
        <v>#REF!</v>
      </c>
      <c r="BK74" s="1" t="e">
        <f>BK33-#REF!</f>
        <v>#REF!</v>
      </c>
      <c r="BL74" s="1" t="e">
        <f>BL33-#REF!</f>
        <v>#REF!</v>
      </c>
      <c r="BM74" s="1" t="e">
        <f>BM33-#REF!</f>
        <v>#REF!</v>
      </c>
      <c r="BN74" s="1" t="e">
        <f>BN33-#REF!</f>
        <v>#REF!</v>
      </c>
      <c r="BO74" s="1" t="e">
        <f>BO33-#REF!</f>
        <v>#REF!</v>
      </c>
      <c r="BP74" s="1" t="e">
        <f>BP33-#REF!</f>
        <v>#REF!</v>
      </c>
      <c r="BQ74" s="1" t="e">
        <f>BQ33-#REF!</f>
        <v>#REF!</v>
      </c>
      <c r="BR74" s="1" t="e">
        <f>BR33-#REF!</f>
        <v>#REF!</v>
      </c>
      <c r="BS74" s="1" t="e">
        <f>BS33-#REF!</f>
        <v>#REF!</v>
      </c>
      <c r="BT74" s="1" t="e">
        <f>BT33-#REF!</f>
        <v>#REF!</v>
      </c>
      <c r="BU74" s="1" t="e">
        <f>BU33-#REF!</f>
        <v>#REF!</v>
      </c>
    </row>
    <row r="75" spans="13:73" hidden="1" x14ac:dyDescent="0.2">
      <c r="M75" s="1" t="e">
        <f>M34-#REF!</f>
        <v>#REF!</v>
      </c>
      <c r="N75" s="1" t="e">
        <f>N34-#REF!</f>
        <v>#REF!</v>
      </c>
      <c r="O75" s="1" t="e">
        <f>O34-#REF!</f>
        <v>#REF!</v>
      </c>
      <c r="P75" s="1" t="e">
        <f>P34-#REF!</f>
        <v>#REF!</v>
      </c>
      <c r="Q75" s="1" t="e">
        <f>Q34-#REF!</f>
        <v>#REF!</v>
      </c>
      <c r="R75" s="1" t="e">
        <f>R34-#REF!</f>
        <v>#REF!</v>
      </c>
      <c r="S75" s="1" t="e">
        <f>S34-#REF!</f>
        <v>#REF!</v>
      </c>
      <c r="T75" s="1" t="e">
        <f>T34-#REF!</f>
        <v>#REF!</v>
      </c>
      <c r="U75" s="1" t="e">
        <f>U34-#REF!</f>
        <v>#REF!</v>
      </c>
      <c r="V75" s="1" t="e">
        <f>V34-#REF!</f>
        <v>#REF!</v>
      </c>
      <c r="W75" s="1" t="e">
        <f>W34-#REF!</f>
        <v>#REF!</v>
      </c>
      <c r="X75" s="1" t="e">
        <f>X34-#REF!</f>
        <v>#REF!</v>
      </c>
      <c r="Y75" s="1" t="e">
        <f>Y34-#REF!</f>
        <v>#REF!</v>
      </c>
      <c r="Z75" s="1" t="e">
        <f>Z34-#REF!</f>
        <v>#REF!</v>
      </c>
      <c r="AA75" s="1" t="e">
        <f>AA34-#REF!</f>
        <v>#REF!</v>
      </c>
      <c r="AB75" s="1" t="e">
        <f>AB34-#REF!</f>
        <v>#REF!</v>
      </c>
      <c r="AC75" s="1" t="e">
        <f>AC34-#REF!</f>
        <v>#REF!</v>
      </c>
      <c r="AD75" s="1" t="e">
        <f>AD34-#REF!</f>
        <v>#REF!</v>
      </c>
      <c r="AE75" s="1" t="e">
        <f>AE34-#REF!</f>
        <v>#REF!</v>
      </c>
      <c r="AF75" s="1" t="e">
        <f>AF34-#REF!</f>
        <v>#REF!</v>
      </c>
      <c r="AG75" s="1" t="e">
        <f>AG34-#REF!</f>
        <v>#REF!</v>
      </c>
      <c r="AH75" s="1" t="e">
        <f>AH34-#REF!</f>
        <v>#REF!</v>
      </c>
      <c r="AI75" s="1" t="e">
        <f>AI34-#REF!</f>
        <v>#REF!</v>
      </c>
      <c r="AJ75" s="1" t="e">
        <f>AJ34-#REF!</f>
        <v>#REF!</v>
      </c>
      <c r="AK75" s="1" t="e">
        <f>AK34-#REF!</f>
        <v>#REF!</v>
      </c>
      <c r="AL75" s="1" t="e">
        <f>AL34-#REF!</f>
        <v>#REF!</v>
      </c>
      <c r="AM75" s="1" t="e">
        <f>AM34-#REF!</f>
        <v>#REF!</v>
      </c>
      <c r="AN75" s="1" t="e">
        <f>AN34-#REF!</f>
        <v>#REF!</v>
      </c>
      <c r="AO75" s="1" t="e">
        <f>AO34-#REF!</f>
        <v>#REF!</v>
      </c>
      <c r="AP75" s="1" t="e">
        <f>AP34-#REF!</f>
        <v>#REF!</v>
      </c>
      <c r="AQ75" s="1" t="e">
        <f>AQ34-#REF!</f>
        <v>#REF!</v>
      </c>
      <c r="AR75" s="1" t="e">
        <f>AR34-#REF!</f>
        <v>#REF!</v>
      </c>
      <c r="AS75" s="1" t="e">
        <f>AS34-#REF!</f>
        <v>#REF!</v>
      </c>
      <c r="AT75" s="1" t="e">
        <f>AT34-#REF!</f>
        <v>#REF!</v>
      </c>
      <c r="AU75" s="1" t="e">
        <f>AU34-#REF!</f>
        <v>#REF!</v>
      </c>
      <c r="AV75" s="1" t="e">
        <f>AV34-#REF!</f>
        <v>#REF!</v>
      </c>
      <c r="AW75" s="1" t="e">
        <f>AW34-#REF!</f>
        <v>#REF!</v>
      </c>
      <c r="AX75" s="1" t="e">
        <f>AX34-#REF!</f>
        <v>#REF!</v>
      </c>
      <c r="AY75" s="1" t="e">
        <f>AY34-#REF!</f>
        <v>#REF!</v>
      </c>
      <c r="AZ75" s="1" t="e">
        <f>AZ34-#REF!</f>
        <v>#REF!</v>
      </c>
      <c r="BA75" s="1" t="e">
        <f>BA34-#REF!</f>
        <v>#REF!</v>
      </c>
      <c r="BB75" s="1" t="e">
        <f>BB34-#REF!</f>
        <v>#REF!</v>
      </c>
      <c r="BC75" s="1" t="e">
        <f>BC34-#REF!</f>
        <v>#REF!</v>
      </c>
      <c r="BD75" s="1" t="e">
        <f>BD34-#REF!</f>
        <v>#REF!</v>
      </c>
      <c r="BE75" s="1" t="e">
        <f>BE34-#REF!</f>
        <v>#REF!</v>
      </c>
      <c r="BF75" s="1" t="e">
        <f>BF34-#REF!</f>
        <v>#REF!</v>
      </c>
      <c r="BG75" s="1" t="e">
        <f>BG34-#REF!</f>
        <v>#REF!</v>
      </c>
      <c r="BH75" s="1" t="e">
        <f>BH34-#REF!</f>
        <v>#REF!</v>
      </c>
      <c r="BI75" s="1" t="e">
        <f>BI34-#REF!</f>
        <v>#REF!</v>
      </c>
      <c r="BJ75" s="1" t="e">
        <f>BJ34-#REF!</f>
        <v>#REF!</v>
      </c>
      <c r="BK75" s="1" t="e">
        <f>BK34-#REF!</f>
        <v>#REF!</v>
      </c>
      <c r="BL75" s="1" t="e">
        <f>BL34-#REF!</f>
        <v>#REF!</v>
      </c>
      <c r="BM75" s="1" t="e">
        <f>BM34-#REF!</f>
        <v>#REF!</v>
      </c>
      <c r="BN75" s="1" t="e">
        <f>BN34-#REF!</f>
        <v>#REF!</v>
      </c>
      <c r="BO75" s="1" t="e">
        <f>BO34-#REF!</f>
        <v>#REF!</v>
      </c>
      <c r="BP75" s="1" t="e">
        <f>BP34-#REF!</f>
        <v>#REF!</v>
      </c>
      <c r="BQ75" s="1" t="e">
        <f>BQ34-#REF!</f>
        <v>#REF!</v>
      </c>
      <c r="BR75" s="1" t="e">
        <f>BR34-#REF!</f>
        <v>#REF!</v>
      </c>
      <c r="BS75" s="1" t="e">
        <f>BS34-#REF!</f>
        <v>#REF!</v>
      </c>
      <c r="BT75" s="1" t="e">
        <f>BT34-#REF!</f>
        <v>#REF!</v>
      </c>
      <c r="BU75" s="1" t="e">
        <f>BU34-#REF!</f>
        <v>#REF!</v>
      </c>
    </row>
    <row r="76" spans="13:73" hidden="1" x14ac:dyDescent="0.2">
      <c r="M76" s="1" t="e">
        <f>M35-#REF!</f>
        <v>#REF!</v>
      </c>
      <c r="N76" s="1" t="e">
        <f>N35-#REF!</f>
        <v>#REF!</v>
      </c>
      <c r="O76" s="1" t="e">
        <f>O35-#REF!</f>
        <v>#REF!</v>
      </c>
      <c r="P76" s="1" t="e">
        <f>P35-#REF!</f>
        <v>#REF!</v>
      </c>
      <c r="Q76" s="1" t="e">
        <f>Q35-#REF!</f>
        <v>#REF!</v>
      </c>
      <c r="R76" s="1" t="e">
        <f>R35-#REF!</f>
        <v>#REF!</v>
      </c>
      <c r="S76" s="1" t="e">
        <f>S35-#REF!</f>
        <v>#REF!</v>
      </c>
      <c r="T76" s="1" t="e">
        <f>T35-#REF!</f>
        <v>#REF!</v>
      </c>
      <c r="U76" s="1" t="e">
        <f>U35-#REF!</f>
        <v>#REF!</v>
      </c>
      <c r="V76" s="1" t="e">
        <f>V35-#REF!</f>
        <v>#REF!</v>
      </c>
      <c r="W76" s="1" t="e">
        <f>W35-#REF!</f>
        <v>#REF!</v>
      </c>
      <c r="X76" s="1" t="e">
        <f>X35-#REF!</f>
        <v>#REF!</v>
      </c>
      <c r="Y76" s="1" t="e">
        <f>Y35-#REF!</f>
        <v>#REF!</v>
      </c>
      <c r="Z76" s="1" t="e">
        <f>Z35-#REF!</f>
        <v>#REF!</v>
      </c>
      <c r="AA76" s="1" t="e">
        <f>AA35-#REF!</f>
        <v>#REF!</v>
      </c>
      <c r="AB76" s="1" t="e">
        <f>AB35-#REF!</f>
        <v>#REF!</v>
      </c>
      <c r="AC76" s="1" t="e">
        <f>AC35-#REF!</f>
        <v>#REF!</v>
      </c>
      <c r="AD76" s="1" t="e">
        <f>AD35-#REF!</f>
        <v>#REF!</v>
      </c>
      <c r="AE76" s="1" t="e">
        <f>AE35-#REF!</f>
        <v>#REF!</v>
      </c>
      <c r="AF76" s="1" t="e">
        <f>AF35-#REF!</f>
        <v>#REF!</v>
      </c>
      <c r="AG76" s="1" t="e">
        <f>AG35-#REF!</f>
        <v>#REF!</v>
      </c>
      <c r="AH76" s="1" t="e">
        <f>AH35-#REF!</f>
        <v>#REF!</v>
      </c>
      <c r="AI76" s="1" t="e">
        <f>AI35-#REF!</f>
        <v>#REF!</v>
      </c>
      <c r="AJ76" s="1" t="e">
        <f>AJ35-#REF!</f>
        <v>#REF!</v>
      </c>
      <c r="AK76" s="1" t="e">
        <f>AK35-#REF!</f>
        <v>#REF!</v>
      </c>
      <c r="AL76" s="1" t="e">
        <f>AL35-#REF!</f>
        <v>#REF!</v>
      </c>
      <c r="AM76" s="1" t="e">
        <f>AM35-#REF!</f>
        <v>#REF!</v>
      </c>
      <c r="AN76" s="1" t="e">
        <f>AN35-#REF!</f>
        <v>#REF!</v>
      </c>
      <c r="AO76" s="1" t="e">
        <f>AO35-#REF!</f>
        <v>#REF!</v>
      </c>
      <c r="AP76" s="1" t="e">
        <f>AP35-#REF!</f>
        <v>#REF!</v>
      </c>
      <c r="AQ76" s="1" t="e">
        <f>AQ35-#REF!</f>
        <v>#REF!</v>
      </c>
      <c r="AR76" s="1" t="e">
        <f>AR35-#REF!</f>
        <v>#REF!</v>
      </c>
      <c r="AS76" s="1" t="e">
        <f>AS35-#REF!</f>
        <v>#REF!</v>
      </c>
      <c r="AT76" s="1" t="e">
        <f>AT35-#REF!</f>
        <v>#REF!</v>
      </c>
      <c r="AU76" s="1" t="e">
        <f>AU35-#REF!</f>
        <v>#REF!</v>
      </c>
      <c r="AV76" s="1" t="e">
        <f>AV35-#REF!</f>
        <v>#REF!</v>
      </c>
      <c r="AW76" s="1" t="e">
        <f>AW35-#REF!</f>
        <v>#REF!</v>
      </c>
      <c r="AX76" s="1" t="e">
        <f>AX35-#REF!</f>
        <v>#REF!</v>
      </c>
      <c r="AY76" s="1" t="e">
        <f>AY35-#REF!</f>
        <v>#REF!</v>
      </c>
      <c r="AZ76" s="1" t="e">
        <f>AZ35-#REF!</f>
        <v>#REF!</v>
      </c>
      <c r="BA76" s="1" t="e">
        <f>BA35-#REF!</f>
        <v>#REF!</v>
      </c>
      <c r="BB76" s="1" t="e">
        <f>BB35-#REF!</f>
        <v>#REF!</v>
      </c>
      <c r="BC76" s="1" t="e">
        <f>BC35-#REF!</f>
        <v>#REF!</v>
      </c>
      <c r="BD76" s="1" t="e">
        <f>BD35-#REF!</f>
        <v>#REF!</v>
      </c>
      <c r="BE76" s="1" t="e">
        <f>BE35-#REF!</f>
        <v>#REF!</v>
      </c>
      <c r="BF76" s="1" t="e">
        <f>BF35-#REF!</f>
        <v>#REF!</v>
      </c>
      <c r="BG76" s="1" t="e">
        <f>BG35-#REF!</f>
        <v>#REF!</v>
      </c>
      <c r="BH76" s="1" t="e">
        <f>BH35-#REF!</f>
        <v>#REF!</v>
      </c>
      <c r="BI76" s="1" t="e">
        <f>BI35-#REF!</f>
        <v>#REF!</v>
      </c>
      <c r="BJ76" s="1" t="e">
        <f>BJ35-#REF!</f>
        <v>#REF!</v>
      </c>
      <c r="BK76" s="1" t="e">
        <f>BK35-#REF!</f>
        <v>#REF!</v>
      </c>
      <c r="BL76" s="1" t="e">
        <f>BL35-#REF!</f>
        <v>#REF!</v>
      </c>
      <c r="BM76" s="1" t="e">
        <f>BM35-#REF!</f>
        <v>#REF!</v>
      </c>
      <c r="BN76" s="1" t="e">
        <f>BN35-#REF!</f>
        <v>#REF!</v>
      </c>
      <c r="BO76" s="1" t="e">
        <f>BO35-#REF!</f>
        <v>#REF!</v>
      </c>
      <c r="BP76" s="1" t="e">
        <f>BP35-#REF!</f>
        <v>#REF!</v>
      </c>
      <c r="BQ76" s="1" t="e">
        <f>BQ35-#REF!</f>
        <v>#REF!</v>
      </c>
      <c r="BR76" s="1" t="e">
        <f>BR35-#REF!</f>
        <v>#REF!</v>
      </c>
      <c r="BS76" s="1" t="e">
        <f>BS35-#REF!</f>
        <v>#REF!</v>
      </c>
      <c r="BT76" s="1" t="e">
        <f>BT35-#REF!</f>
        <v>#REF!</v>
      </c>
      <c r="BU76" s="1" t="e">
        <f>BU35-#REF!</f>
        <v>#REF!</v>
      </c>
    </row>
    <row r="77" spans="13:73" hidden="1" x14ac:dyDescent="0.2">
      <c r="M77" s="1" t="e">
        <f>M36-#REF!</f>
        <v>#REF!</v>
      </c>
      <c r="N77" s="1" t="e">
        <f>N36-#REF!</f>
        <v>#REF!</v>
      </c>
      <c r="O77" s="1" t="e">
        <f>O36-#REF!</f>
        <v>#REF!</v>
      </c>
      <c r="P77" s="1" t="e">
        <f>P36-#REF!</f>
        <v>#REF!</v>
      </c>
      <c r="Q77" s="1" t="e">
        <f>Q36-#REF!</f>
        <v>#REF!</v>
      </c>
      <c r="R77" s="1" t="e">
        <f>R36-#REF!</f>
        <v>#REF!</v>
      </c>
      <c r="S77" s="1" t="e">
        <f>S36-#REF!</f>
        <v>#REF!</v>
      </c>
      <c r="T77" s="1" t="e">
        <f>T36-#REF!</f>
        <v>#REF!</v>
      </c>
      <c r="U77" s="1" t="e">
        <f>U36-#REF!</f>
        <v>#REF!</v>
      </c>
      <c r="V77" s="1" t="e">
        <f>V36-#REF!</f>
        <v>#REF!</v>
      </c>
      <c r="W77" s="1" t="e">
        <f>W36-#REF!</f>
        <v>#REF!</v>
      </c>
      <c r="X77" s="1" t="e">
        <f>X36-#REF!</f>
        <v>#REF!</v>
      </c>
      <c r="Y77" s="1" t="e">
        <f>Y36-#REF!</f>
        <v>#REF!</v>
      </c>
      <c r="Z77" s="1" t="e">
        <f>Z36-#REF!</f>
        <v>#REF!</v>
      </c>
      <c r="AA77" s="1" t="e">
        <f>AA36-#REF!</f>
        <v>#REF!</v>
      </c>
      <c r="AB77" s="1" t="e">
        <f>AB36-#REF!</f>
        <v>#REF!</v>
      </c>
      <c r="AC77" s="1" t="e">
        <f>AC36-#REF!</f>
        <v>#REF!</v>
      </c>
      <c r="AD77" s="1" t="e">
        <f>AD36-#REF!</f>
        <v>#REF!</v>
      </c>
      <c r="AE77" s="1" t="e">
        <f>AE36-#REF!</f>
        <v>#REF!</v>
      </c>
      <c r="AF77" s="1" t="e">
        <f>AF36-#REF!</f>
        <v>#REF!</v>
      </c>
      <c r="AG77" s="1" t="e">
        <f>AG36-#REF!</f>
        <v>#REF!</v>
      </c>
      <c r="AH77" s="1" t="e">
        <f>AH36-#REF!</f>
        <v>#REF!</v>
      </c>
      <c r="AI77" s="1" t="e">
        <f>AI36-#REF!</f>
        <v>#REF!</v>
      </c>
      <c r="AJ77" s="1" t="e">
        <f>AJ36-#REF!</f>
        <v>#REF!</v>
      </c>
      <c r="AK77" s="1" t="e">
        <f>AK36-#REF!</f>
        <v>#REF!</v>
      </c>
      <c r="AL77" s="1" t="e">
        <f>AL36-#REF!</f>
        <v>#REF!</v>
      </c>
      <c r="AM77" s="1" t="e">
        <f>AM36-#REF!</f>
        <v>#REF!</v>
      </c>
      <c r="AN77" s="1" t="e">
        <f>AN36-#REF!</f>
        <v>#REF!</v>
      </c>
      <c r="AO77" s="1" t="e">
        <f>AO36-#REF!</f>
        <v>#REF!</v>
      </c>
      <c r="AP77" s="1" t="e">
        <f>AP36-#REF!</f>
        <v>#REF!</v>
      </c>
      <c r="AQ77" s="1" t="e">
        <f>AQ36-#REF!</f>
        <v>#REF!</v>
      </c>
      <c r="AR77" s="1" t="e">
        <f>AR36-#REF!</f>
        <v>#REF!</v>
      </c>
      <c r="AS77" s="1" t="e">
        <f>AS36-#REF!</f>
        <v>#REF!</v>
      </c>
      <c r="AT77" s="1" t="e">
        <f>AT36-#REF!</f>
        <v>#REF!</v>
      </c>
      <c r="AU77" s="1" t="e">
        <f>AU36-#REF!</f>
        <v>#REF!</v>
      </c>
      <c r="AV77" s="1" t="e">
        <f>AV36-#REF!</f>
        <v>#REF!</v>
      </c>
      <c r="AW77" s="1" t="e">
        <f>AW36-#REF!</f>
        <v>#REF!</v>
      </c>
      <c r="AX77" s="1" t="e">
        <f>AX36-#REF!</f>
        <v>#REF!</v>
      </c>
      <c r="AY77" s="1" t="e">
        <f>AY36-#REF!</f>
        <v>#REF!</v>
      </c>
      <c r="AZ77" s="1" t="e">
        <f>AZ36-#REF!</f>
        <v>#REF!</v>
      </c>
      <c r="BA77" s="1" t="e">
        <f>BA36-#REF!</f>
        <v>#REF!</v>
      </c>
      <c r="BB77" s="1" t="e">
        <f>BB36-#REF!</f>
        <v>#REF!</v>
      </c>
      <c r="BC77" s="1" t="e">
        <f>BC36-#REF!</f>
        <v>#REF!</v>
      </c>
      <c r="BD77" s="1" t="e">
        <f>BD36-#REF!</f>
        <v>#REF!</v>
      </c>
      <c r="BE77" s="1" t="e">
        <f>BE36-#REF!</f>
        <v>#REF!</v>
      </c>
      <c r="BF77" s="1" t="e">
        <f>BF36-#REF!</f>
        <v>#REF!</v>
      </c>
      <c r="BG77" s="1" t="e">
        <f>BG36-#REF!</f>
        <v>#REF!</v>
      </c>
      <c r="BH77" s="1" t="e">
        <f>BH36-#REF!</f>
        <v>#REF!</v>
      </c>
      <c r="BI77" s="1" t="e">
        <f>BI36-#REF!</f>
        <v>#REF!</v>
      </c>
      <c r="BJ77" s="1" t="e">
        <f>BJ36-#REF!</f>
        <v>#REF!</v>
      </c>
      <c r="BK77" s="1" t="e">
        <f>BK36-#REF!</f>
        <v>#REF!</v>
      </c>
      <c r="BL77" s="1" t="e">
        <f>BL36-#REF!</f>
        <v>#REF!</v>
      </c>
      <c r="BM77" s="1" t="e">
        <f>BM36-#REF!</f>
        <v>#REF!</v>
      </c>
      <c r="BN77" s="1" t="e">
        <f>BN36-#REF!</f>
        <v>#REF!</v>
      </c>
      <c r="BO77" s="1" t="e">
        <f>BO36-#REF!</f>
        <v>#REF!</v>
      </c>
      <c r="BP77" s="1" t="e">
        <f>BP36-#REF!</f>
        <v>#REF!</v>
      </c>
      <c r="BQ77" s="1" t="e">
        <f>BQ36-#REF!</f>
        <v>#REF!</v>
      </c>
      <c r="BR77" s="1" t="e">
        <f>BR36-#REF!</f>
        <v>#REF!</v>
      </c>
      <c r="BS77" s="1" t="e">
        <f>BS36-#REF!</f>
        <v>#REF!</v>
      </c>
      <c r="BT77" s="1" t="e">
        <f>BT36-#REF!</f>
        <v>#REF!</v>
      </c>
      <c r="BU77" s="1" t="e">
        <f>BU36-#REF!</f>
        <v>#REF!</v>
      </c>
    </row>
    <row r="78" spans="13:73" hidden="1" x14ac:dyDescent="0.2">
      <c r="M78" s="1" t="e">
        <f>M37-#REF!</f>
        <v>#REF!</v>
      </c>
      <c r="N78" s="1" t="e">
        <f>N37-#REF!</f>
        <v>#REF!</v>
      </c>
      <c r="O78" s="1" t="e">
        <f>O37-#REF!</f>
        <v>#REF!</v>
      </c>
      <c r="P78" s="1" t="e">
        <f>P37-#REF!</f>
        <v>#REF!</v>
      </c>
      <c r="Q78" s="1" t="e">
        <f>Q37-#REF!</f>
        <v>#REF!</v>
      </c>
      <c r="R78" s="1" t="e">
        <f>R37-#REF!</f>
        <v>#REF!</v>
      </c>
      <c r="S78" s="1" t="e">
        <f>S37-#REF!</f>
        <v>#REF!</v>
      </c>
      <c r="T78" s="1" t="e">
        <f>T37-#REF!</f>
        <v>#REF!</v>
      </c>
      <c r="U78" s="1" t="e">
        <f>U37-#REF!</f>
        <v>#REF!</v>
      </c>
      <c r="V78" s="1" t="e">
        <f>V37-#REF!</f>
        <v>#REF!</v>
      </c>
      <c r="W78" s="1" t="e">
        <f>W37-#REF!</f>
        <v>#REF!</v>
      </c>
      <c r="X78" s="1" t="e">
        <f>X37-#REF!</f>
        <v>#REF!</v>
      </c>
      <c r="Y78" s="1" t="e">
        <f>Y37-#REF!</f>
        <v>#REF!</v>
      </c>
      <c r="Z78" s="1" t="e">
        <f>Z37-#REF!</f>
        <v>#REF!</v>
      </c>
      <c r="AA78" s="1" t="e">
        <f>AA37-#REF!</f>
        <v>#REF!</v>
      </c>
      <c r="AB78" s="1" t="e">
        <f>AB37-#REF!</f>
        <v>#REF!</v>
      </c>
      <c r="AC78" s="1" t="e">
        <f>AC37-#REF!</f>
        <v>#REF!</v>
      </c>
      <c r="AD78" s="1" t="e">
        <f>AD37-#REF!</f>
        <v>#REF!</v>
      </c>
      <c r="AE78" s="1" t="e">
        <f>AE37-#REF!</f>
        <v>#REF!</v>
      </c>
      <c r="AF78" s="1" t="e">
        <f>AF37-#REF!</f>
        <v>#REF!</v>
      </c>
      <c r="AG78" s="1" t="e">
        <f>AG37-#REF!</f>
        <v>#REF!</v>
      </c>
      <c r="AH78" s="1" t="e">
        <f>AH37-#REF!</f>
        <v>#REF!</v>
      </c>
      <c r="AI78" s="1" t="e">
        <f>AI37-#REF!</f>
        <v>#REF!</v>
      </c>
      <c r="AJ78" s="1" t="e">
        <f>AJ37-#REF!</f>
        <v>#REF!</v>
      </c>
      <c r="AK78" s="1" t="e">
        <f>AK37-#REF!</f>
        <v>#REF!</v>
      </c>
      <c r="AL78" s="1" t="e">
        <f>AL37-#REF!</f>
        <v>#REF!</v>
      </c>
      <c r="AM78" s="1" t="e">
        <f>AM37-#REF!</f>
        <v>#REF!</v>
      </c>
      <c r="AN78" s="1" t="e">
        <f>AN37-#REF!</f>
        <v>#REF!</v>
      </c>
      <c r="AO78" s="1" t="e">
        <f>AO37-#REF!</f>
        <v>#REF!</v>
      </c>
      <c r="AP78" s="1" t="e">
        <f>AP37-#REF!</f>
        <v>#REF!</v>
      </c>
      <c r="AQ78" s="1" t="e">
        <f>AQ37-#REF!</f>
        <v>#REF!</v>
      </c>
      <c r="AR78" s="1" t="e">
        <f>AR37-#REF!</f>
        <v>#REF!</v>
      </c>
      <c r="AS78" s="1" t="e">
        <f>AS37-#REF!</f>
        <v>#REF!</v>
      </c>
      <c r="AT78" s="1" t="e">
        <f>AT37-#REF!</f>
        <v>#REF!</v>
      </c>
      <c r="AU78" s="1" t="e">
        <f>AU37-#REF!</f>
        <v>#REF!</v>
      </c>
      <c r="AV78" s="1" t="e">
        <f>AV37-#REF!</f>
        <v>#REF!</v>
      </c>
      <c r="AW78" s="1" t="e">
        <f>AW37-#REF!</f>
        <v>#REF!</v>
      </c>
      <c r="AX78" s="1" t="e">
        <f>AX37-#REF!</f>
        <v>#REF!</v>
      </c>
      <c r="AY78" s="1" t="e">
        <f>AY37-#REF!</f>
        <v>#REF!</v>
      </c>
      <c r="AZ78" s="1" t="e">
        <f>AZ37-#REF!</f>
        <v>#REF!</v>
      </c>
      <c r="BA78" s="1" t="e">
        <f>BA37-#REF!</f>
        <v>#REF!</v>
      </c>
      <c r="BB78" s="1" t="e">
        <f>BB37-#REF!</f>
        <v>#REF!</v>
      </c>
      <c r="BC78" s="1" t="e">
        <f>BC37-#REF!</f>
        <v>#REF!</v>
      </c>
      <c r="BD78" s="1" t="e">
        <f>BD37-#REF!</f>
        <v>#REF!</v>
      </c>
      <c r="BE78" s="1" t="e">
        <f>BE37-#REF!</f>
        <v>#REF!</v>
      </c>
      <c r="BF78" s="1" t="e">
        <f>BF37-#REF!</f>
        <v>#REF!</v>
      </c>
      <c r="BG78" s="1" t="e">
        <f>BG37-#REF!</f>
        <v>#REF!</v>
      </c>
      <c r="BH78" s="1" t="e">
        <f>BH37-#REF!</f>
        <v>#REF!</v>
      </c>
      <c r="BI78" s="1" t="e">
        <f>BI37-#REF!</f>
        <v>#REF!</v>
      </c>
      <c r="BJ78" s="1" t="e">
        <f>BJ37-#REF!</f>
        <v>#REF!</v>
      </c>
      <c r="BK78" s="1" t="e">
        <f>BK37-#REF!</f>
        <v>#REF!</v>
      </c>
      <c r="BL78" s="1" t="e">
        <f>BL37-#REF!</f>
        <v>#REF!</v>
      </c>
      <c r="BM78" s="1" t="e">
        <f>BM37-#REF!</f>
        <v>#REF!</v>
      </c>
      <c r="BN78" s="1" t="e">
        <f>BN37-#REF!</f>
        <v>#REF!</v>
      </c>
      <c r="BO78" s="1" t="e">
        <f>BO37-#REF!</f>
        <v>#REF!</v>
      </c>
      <c r="BP78" s="1" t="e">
        <f>BP37-#REF!</f>
        <v>#REF!</v>
      </c>
      <c r="BQ78" s="1" t="e">
        <f>BQ37-#REF!</f>
        <v>#REF!</v>
      </c>
      <c r="BR78" s="1" t="e">
        <f>BR37-#REF!</f>
        <v>#REF!</v>
      </c>
      <c r="BS78" s="1" t="e">
        <f>BS37-#REF!</f>
        <v>#REF!</v>
      </c>
      <c r="BT78" s="1" t="e">
        <f>BT37-#REF!</f>
        <v>#REF!</v>
      </c>
      <c r="BU78" s="1" t="e">
        <f>BU37-#REF!</f>
        <v>#REF!</v>
      </c>
    </row>
    <row r="79" spans="13:73" hidden="1" x14ac:dyDescent="0.2">
      <c r="M79" s="1" t="e">
        <f>M38-#REF!</f>
        <v>#REF!</v>
      </c>
      <c r="N79" s="1" t="e">
        <f>N38-#REF!</f>
        <v>#REF!</v>
      </c>
      <c r="O79" s="1" t="e">
        <f>O38-#REF!</f>
        <v>#REF!</v>
      </c>
      <c r="P79" s="1" t="e">
        <f>P38-#REF!</f>
        <v>#REF!</v>
      </c>
      <c r="Q79" s="1" t="e">
        <f>Q38-#REF!</f>
        <v>#REF!</v>
      </c>
      <c r="R79" s="1" t="e">
        <f>R38-#REF!</f>
        <v>#REF!</v>
      </c>
      <c r="S79" s="1" t="e">
        <f>S38-#REF!</f>
        <v>#REF!</v>
      </c>
      <c r="T79" s="1" t="e">
        <f>T38-#REF!</f>
        <v>#REF!</v>
      </c>
      <c r="U79" s="1" t="e">
        <f>U38-#REF!</f>
        <v>#REF!</v>
      </c>
      <c r="V79" s="1" t="e">
        <f>V38-#REF!</f>
        <v>#REF!</v>
      </c>
      <c r="W79" s="1" t="e">
        <f>W38-#REF!</f>
        <v>#REF!</v>
      </c>
      <c r="X79" s="1" t="e">
        <f>X38-#REF!</f>
        <v>#REF!</v>
      </c>
      <c r="Y79" s="1" t="e">
        <f>Y38-#REF!</f>
        <v>#REF!</v>
      </c>
      <c r="Z79" s="1" t="e">
        <f>Z38-#REF!</f>
        <v>#REF!</v>
      </c>
      <c r="AA79" s="1" t="e">
        <f>AA38-#REF!</f>
        <v>#REF!</v>
      </c>
      <c r="AB79" s="1" t="e">
        <f>AB38-#REF!</f>
        <v>#REF!</v>
      </c>
      <c r="AC79" s="1" t="e">
        <f>AC38-#REF!</f>
        <v>#REF!</v>
      </c>
      <c r="AD79" s="1" t="e">
        <f>AD38-#REF!</f>
        <v>#REF!</v>
      </c>
      <c r="AE79" s="1" t="e">
        <f>AE38-#REF!</f>
        <v>#REF!</v>
      </c>
      <c r="AF79" s="1" t="e">
        <f>AF38-#REF!</f>
        <v>#REF!</v>
      </c>
      <c r="AG79" s="1" t="e">
        <f>AG38-#REF!</f>
        <v>#REF!</v>
      </c>
      <c r="AH79" s="1" t="e">
        <f>AH38-#REF!</f>
        <v>#REF!</v>
      </c>
      <c r="AI79" s="1" t="e">
        <f>AI38-#REF!</f>
        <v>#REF!</v>
      </c>
      <c r="AJ79" s="1" t="e">
        <f>AJ38-#REF!</f>
        <v>#REF!</v>
      </c>
      <c r="AK79" s="1" t="e">
        <f>AK38-#REF!</f>
        <v>#REF!</v>
      </c>
      <c r="AL79" s="1" t="e">
        <f>AL38-#REF!</f>
        <v>#REF!</v>
      </c>
      <c r="AM79" s="1" t="e">
        <f>AM38-#REF!</f>
        <v>#REF!</v>
      </c>
      <c r="AN79" s="1" t="e">
        <f>AN38-#REF!</f>
        <v>#REF!</v>
      </c>
      <c r="AO79" s="1" t="e">
        <f>AO38-#REF!</f>
        <v>#REF!</v>
      </c>
      <c r="AP79" s="1" t="e">
        <f>AP38-#REF!</f>
        <v>#REF!</v>
      </c>
      <c r="AQ79" s="1" t="e">
        <f>AQ38-#REF!</f>
        <v>#REF!</v>
      </c>
      <c r="AR79" s="1" t="e">
        <f>AR38-#REF!</f>
        <v>#REF!</v>
      </c>
      <c r="AS79" s="1" t="e">
        <f>AS38-#REF!</f>
        <v>#REF!</v>
      </c>
      <c r="AT79" s="1" t="e">
        <f>AT38-#REF!</f>
        <v>#REF!</v>
      </c>
      <c r="AU79" s="1" t="e">
        <f>AU38-#REF!</f>
        <v>#REF!</v>
      </c>
      <c r="AV79" s="1" t="e">
        <f>AV38-#REF!</f>
        <v>#REF!</v>
      </c>
      <c r="AW79" s="1" t="e">
        <f>AW38-#REF!</f>
        <v>#REF!</v>
      </c>
      <c r="AX79" s="1" t="e">
        <f>AX38-#REF!</f>
        <v>#REF!</v>
      </c>
      <c r="AY79" s="1" t="e">
        <f>AY38-#REF!</f>
        <v>#REF!</v>
      </c>
      <c r="AZ79" s="1" t="e">
        <f>AZ38-#REF!</f>
        <v>#REF!</v>
      </c>
      <c r="BA79" s="1" t="e">
        <f>BA38-#REF!</f>
        <v>#REF!</v>
      </c>
      <c r="BB79" s="1" t="e">
        <f>BB38-#REF!</f>
        <v>#REF!</v>
      </c>
      <c r="BC79" s="1" t="e">
        <f>BC38-#REF!</f>
        <v>#REF!</v>
      </c>
      <c r="BD79" s="1" t="e">
        <f>BD38-#REF!</f>
        <v>#REF!</v>
      </c>
      <c r="BE79" s="1" t="e">
        <f>BE38-#REF!</f>
        <v>#REF!</v>
      </c>
      <c r="BF79" s="1" t="e">
        <f>BF38-#REF!</f>
        <v>#REF!</v>
      </c>
      <c r="BG79" s="1" t="e">
        <f>BG38-#REF!</f>
        <v>#REF!</v>
      </c>
      <c r="BH79" s="1" t="e">
        <f>BH38-#REF!</f>
        <v>#REF!</v>
      </c>
      <c r="BI79" s="1" t="e">
        <f>BI38-#REF!</f>
        <v>#REF!</v>
      </c>
      <c r="BJ79" s="1" t="e">
        <f>BJ38-#REF!</f>
        <v>#REF!</v>
      </c>
      <c r="BK79" s="1" t="e">
        <f>BK38-#REF!</f>
        <v>#REF!</v>
      </c>
      <c r="BL79" s="1" t="e">
        <f>BL38-#REF!</f>
        <v>#REF!</v>
      </c>
      <c r="BM79" s="1" t="e">
        <f>BM38-#REF!</f>
        <v>#REF!</v>
      </c>
      <c r="BN79" s="1" t="e">
        <f>BN38-#REF!</f>
        <v>#REF!</v>
      </c>
      <c r="BO79" s="1" t="e">
        <f>BO38-#REF!</f>
        <v>#REF!</v>
      </c>
      <c r="BP79" s="1" t="e">
        <f>BP38-#REF!</f>
        <v>#REF!</v>
      </c>
      <c r="BQ79" s="1" t="e">
        <f>BQ38-#REF!</f>
        <v>#REF!</v>
      </c>
      <c r="BR79" s="1" t="e">
        <f>BR38-#REF!</f>
        <v>#REF!</v>
      </c>
      <c r="BS79" s="1" t="e">
        <f>BS38-#REF!</f>
        <v>#REF!</v>
      </c>
      <c r="BT79" s="1" t="e">
        <f>BT38-#REF!</f>
        <v>#REF!</v>
      </c>
      <c r="BU79" s="1" t="e">
        <f>BU38-#REF!</f>
        <v>#REF!</v>
      </c>
    </row>
    <row r="80" spans="13:73" hidden="1" x14ac:dyDescent="0.2">
      <c r="M80" s="1" t="e">
        <f>M39-#REF!</f>
        <v>#REF!</v>
      </c>
      <c r="N80" s="1" t="e">
        <f>N39-#REF!</f>
        <v>#REF!</v>
      </c>
      <c r="O80" s="1" t="e">
        <f>O39-#REF!</f>
        <v>#REF!</v>
      </c>
      <c r="P80" s="1" t="e">
        <f>P39-#REF!</f>
        <v>#REF!</v>
      </c>
      <c r="Q80" s="1" t="e">
        <f>Q39-#REF!</f>
        <v>#REF!</v>
      </c>
      <c r="R80" s="1" t="e">
        <f>R39-#REF!</f>
        <v>#REF!</v>
      </c>
      <c r="S80" s="1" t="e">
        <f>S39-#REF!</f>
        <v>#REF!</v>
      </c>
      <c r="T80" s="1" t="e">
        <f>T39-#REF!</f>
        <v>#REF!</v>
      </c>
      <c r="U80" s="1" t="e">
        <f>U39-#REF!</f>
        <v>#REF!</v>
      </c>
      <c r="V80" s="1" t="e">
        <f>V39-#REF!</f>
        <v>#REF!</v>
      </c>
      <c r="W80" s="1" t="e">
        <f>W39-#REF!</f>
        <v>#REF!</v>
      </c>
      <c r="X80" s="1" t="e">
        <f>X39-#REF!</f>
        <v>#REF!</v>
      </c>
      <c r="Y80" s="1" t="e">
        <f>Y39-#REF!</f>
        <v>#REF!</v>
      </c>
      <c r="Z80" s="1" t="e">
        <f>Z39-#REF!</f>
        <v>#REF!</v>
      </c>
      <c r="AA80" s="1" t="e">
        <f>AA39-#REF!</f>
        <v>#REF!</v>
      </c>
      <c r="AB80" s="1" t="e">
        <f>AB39-#REF!</f>
        <v>#REF!</v>
      </c>
      <c r="AC80" s="1" t="e">
        <f>AC39-#REF!</f>
        <v>#REF!</v>
      </c>
      <c r="AD80" s="1" t="e">
        <f>AD39-#REF!</f>
        <v>#REF!</v>
      </c>
      <c r="AE80" s="1" t="e">
        <f>AE39-#REF!</f>
        <v>#REF!</v>
      </c>
      <c r="AF80" s="1" t="e">
        <f>AF39-#REF!</f>
        <v>#REF!</v>
      </c>
      <c r="AG80" s="1" t="e">
        <f>AG39-#REF!</f>
        <v>#REF!</v>
      </c>
      <c r="AH80" s="1" t="e">
        <f>AH39-#REF!</f>
        <v>#REF!</v>
      </c>
      <c r="AI80" s="1" t="e">
        <f>AI39-#REF!</f>
        <v>#REF!</v>
      </c>
      <c r="AJ80" s="1" t="e">
        <f>AJ39-#REF!</f>
        <v>#REF!</v>
      </c>
      <c r="AK80" s="1" t="e">
        <f>AK39-#REF!</f>
        <v>#REF!</v>
      </c>
      <c r="AL80" s="1" t="e">
        <f>AL39-#REF!</f>
        <v>#REF!</v>
      </c>
      <c r="AM80" s="1" t="e">
        <f>AM39-#REF!</f>
        <v>#REF!</v>
      </c>
      <c r="AN80" s="1" t="e">
        <f>AN39-#REF!</f>
        <v>#REF!</v>
      </c>
      <c r="AO80" s="1" t="e">
        <f>AO39-#REF!</f>
        <v>#REF!</v>
      </c>
      <c r="AP80" s="1" t="e">
        <f>AP39-#REF!</f>
        <v>#REF!</v>
      </c>
      <c r="AQ80" s="1" t="e">
        <f>AQ39-#REF!</f>
        <v>#REF!</v>
      </c>
      <c r="AR80" s="1" t="e">
        <f>AR39-#REF!</f>
        <v>#REF!</v>
      </c>
      <c r="AS80" s="1" t="e">
        <f>AS39-#REF!</f>
        <v>#REF!</v>
      </c>
      <c r="AT80" s="1" t="e">
        <f>AT39-#REF!</f>
        <v>#REF!</v>
      </c>
      <c r="AU80" s="1" t="e">
        <f>AU39-#REF!</f>
        <v>#REF!</v>
      </c>
      <c r="AV80" s="1" t="e">
        <f>AV39-#REF!</f>
        <v>#REF!</v>
      </c>
      <c r="AW80" s="1" t="e">
        <f>AW39-#REF!</f>
        <v>#REF!</v>
      </c>
      <c r="AX80" s="1" t="e">
        <f>AX39-#REF!</f>
        <v>#REF!</v>
      </c>
      <c r="AY80" s="1" t="e">
        <f>AY39-#REF!</f>
        <v>#REF!</v>
      </c>
      <c r="AZ80" s="1" t="e">
        <f>AZ39-#REF!</f>
        <v>#REF!</v>
      </c>
      <c r="BA80" s="1" t="e">
        <f>BA39-#REF!</f>
        <v>#REF!</v>
      </c>
      <c r="BB80" s="1" t="e">
        <f>BB39-#REF!</f>
        <v>#REF!</v>
      </c>
      <c r="BC80" s="1" t="e">
        <f>BC39-#REF!</f>
        <v>#REF!</v>
      </c>
      <c r="BD80" s="1" t="e">
        <f>BD39-#REF!</f>
        <v>#REF!</v>
      </c>
      <c r="BE80" s="1" t="e">
        <f>BE39-#REF!</f>
        <v>#REF!</v>
      </c>
      <c r="BF80" s="1" t="e">
        <f>BF39-#REF!</f>
        <v>#REF!</v>
      </c>
      <c r="BG80" s="1" t="e">
        <f>BG39-#REF!</f>
        <v>#REF!</v>
      </c>
      <c r="BH80" s="1" t="e">
        <f>BH39-#REF!</f>
        <v>#REF!</v>
      </c>
      <c r="BI80" s="1" t="e">
        <f>BI39-#REF!</f>
        <v>#REF!</v>
      </c>
      <c r="BJ80" s="1" t="e">
        <f>BJ39-#REF!</f>
        <v>#REF!</v>
      </c>
      <c r="BK80" s="1" t="e">
        <f>BK39-#REF!</f>
        <v>#REF!</v>
      </c>
      <c r="BL80" s="1" t="e">
        <f>BL39-#REF!</f>
        <v>#REF!</v>
      </c>
      <c r="BM80" s="1" t="e">
        <f>BM39-#REF!</f>
        <v>#REF!</v>
      </c>
      <c r="BN80" s="1" t="e">
        <f>BN39-#REF!</f>
        <v>#REF!</v>
      </c>
      <c r="BO80" s="1" t="e">
        <f>BO39-#REF!</f>
        <v>#REF!</v>
      </c>
      <c r="BP80" s="1" t="e">
        <f>BP39-#REF!</f>
        <v>#REF!</v>
      </c>
      <c r="BQ80" s="1" t="e">
        <f>BQ39-#REF!</f>
        <v>#REF!</v>
      </c>
      <c r="BR80" s="1" t="e">
        <f>BR39-#REF!</f>
        <v>#REF!</v>
      </c>
      <c r="BS80" s="1" t="e">
        <f>BS39-#REF!</f>
        <v>#REF!</v>
      </c>
      <c r="BT80" s="1" t="e">
        <f>BT39-#REF!</f>
        <v>#REF!</v>
      </c>
      <c r="BU80" s="1" t="e">
        <f>BU39-#REF!</f>
        <v>#REF!</v>
      </c>
    </row>
    <row r="81" spans="13:73" hidden="1" x14ac:dyDescent="0.2">
      <c r="M81" s="1" t="e">
        <f>M40-#REF!</f>
        <v>#REF!</v>
      </c>
      <c r="N81" s="1" t="e">
        <f>N40-#REF!</f>
        <v>#REF!</v>
      </c>
      <c r="O81" s="1" t="e">
        <f>O40-#REF!</f>
        <v>#REF!</v>
      </c>
      <c r="P81" s="1" t="e">
        <f>P40-#REF!</f>
        <v>#REF!</v>
      </c>
      <c r="Q81" s="1" t="e">
        <f>Q40-#REF!</f>
        <v>#REF!</v>
      </c>
      <c r="R81" s="1" t="e">
        <f>R40-#REF!</f>
        <v>#REF!</v>
      </c>
      <c r="S81" s="1" t="e">
        <f>S40-#REF!</f>
        <v>#REF!</v>
      </c>
      <c r="T81" s="1" t="e">
        <f>T40-#REF!</f>
        <v>#REF!</v>
      </c>
      <c r="U81" s="1" t="e">
        <f>U40-#REF!</f>
        <v>#REF!</v>
      </c>
      <c r="V81" s="1" t="e">
        <f>V40-#REF!</f>
        <v>#REF!</v>
      </c>
      <c r="W81" s="1" t="e">
        <f>W40-#REF!</f>
        <v>#REF!</v>
      </c>
      <c r="X81" s="1" t="e">
        <f>X40-#REF!</f>
        <v>#REF!</v>
      </c>
      <c r="Y81" s="1" t="e">
        <f>Y40-#REF!</f>
        <v>#REF!</v>
      </c>
      <c r="Z81" s="1" t="e">
        <f>Z40-#REF!</f>
        <v>#REF!</v>
      </c>
      <c r="AA81" s="1" t="e">
        <f>AA40-#REF!</f>
        <v>#REF!</v>
      </c>
      <c r="AB81" s="1" t="e">
        <f>AB40-#REF!</f>
        <v>#REF!</v>
      </c>
      <c r="AC81" s="1" t="e">
        <f>AC40-#REF!</f>
        <v>#REF!</v>
      </c>
      <c r="AD81" s="1" t="e">
        <f>AD40-#REF!</f>
        <v>#REF!</v>
      </c>
      <c r="AE81" s="1" t="e">
        <f>AE40-#REF!</f>
        <v>#REF!</v>
      </c>
      <c r="AF81" s="1" t="e">
        <f>AF40-#REF!</f>
        <v>#REF!</v>
      </c>
      <c r="AG81" s="1" t="e">
        <f>AG40-#REF!</f>
        <v>#REF!</v>
      </c>
      <c r="AH81" s="1" t="e">
        <f>AH40-#REF!</f>
        <v>#REF!</v>
      </c>
      <c r="AI81" s="1" t="e">
        <f>AI40-#REF!</f>
        <v>#REF!</v>
      </c>
      <c r="AJ81" s="1" t="e">
        <f>AJ40-#REF!</f>
        <v>#REF!</v>
      </c>
      <c r="AK81" s="1" t="e">
        <f>AK40-#REF!</f>
        <v>#REF!</v>
      </c>
      <c r="AL81" s="1" t="e">
        <f>AL40-#REF!</f>
        <v>#REF!</v>
      </c>
      <c r="AM81" s="1" t="e">
        <f>AM40-#REF!</f>
        <v>#REF!</v>
      </c>
      <c r="AN81" s="1" t="e">
        <f>AN40-#REF!</f>
        <v>#REF!</v>
      </c>
      <c r="AO81" s="1" t="e">
        <f>AO40-#REF!</f>
        <v>#REF!</v>
      </c>
      <c r="AP81" s="1" t="e">
        <f>AP40-#REF!</f>
        <v>#REF!</v>
      </c>
      <c r="AQ81" s="1" t="e">
        <f>AQ40-#REF!</f>
        <v>#REF!</v>
      </c>
      <c r="AR81" s="1" t="e">
        <f>AR40-#REF!</f>
        <v>#REF!</v>
      </c>
      <c r="AS81" s="1" t="e">
        <f>AS40-#REF!</f>
        <v>#REF!</v>
      </c>
      <c r="AT81" s="1" t="e">
        <f>AT40-#REF!</f>
        <v>#REF!</v>
      </c>
      <c r="AU81" s="1" t="e">
        <f>AU40-#REF!</f>
        <v>#REF!</v>
      </c>
      <c r="AV81" s="1" t="e">
        <f>AV40-#REF!</f>
        <v>#REF!</v>
      </c>
      <c r="AW81" s="1" t="e">
        <f>AW40-#REF!</f>
        <v>#REF!</v>
      </c>
      <c r="AX81" s="1" t="e">
        <f>AX40-#REF!</f>
        <v>#REF!</v>
      </c>
      <c r="AY81" s="1" t="e">
        <f>AY40-#REF!</f>
        <v>#REF!</v>
      </c>
      <c r="AZ81" s="1" t="e">
        <f>AZ40-#REF!</f>
        <v>#REF!</v>
      </c>
      <c r="BA81" s="1" t="e">
        <f>BA40-#REF!</f>
        <v>#REF!</v>
      </c>
      <c r="BB81" s="1" t="e">
        <f>BB40-#REF!</f>
        <v>#REF!</v>
      </c>
      <c r="BC81" s="1" t="e">
        <f>BC40-#REF!</f>
        <v>#REF!</v>
      </c>
      <c r="BD81" s="1" t="e">
        <f>BD40-#REF!</f>
        <v>#REF!</v>
      </c>
      <c r="BE81" s="1" t="e">
        <f>BE40-#REF!</f>
        <v>#REF!</v>
      </c>
      <c r="BF81" s="1" t="e">
        <f>BF40-#REF!</f>
        <v>#REF!</v>
      </c>
      <c r="BG81" s="1" t="e">
        <f>BG40-#REF!</f>
        <v>#REF!</v>
      </c>
      <c r="BH81" s="1" t="e">
        <f>BH40-#REF!</f>
        <v>#REF!</v>
      </c>
      <c r="BI81" s="1" t="e">
        <f>BI40-#REF!</f>
        <v>#REF!</v>
      </c>
      <c r="BJ81" s="1" t="e">
        <f>BJ40-#REF!</f>
        <v>#REF!</v>
      </c>
      <c r="BK81" s="1" t="e">
        <f>BK40-#REF!</f>
        <v>#REF!</v>
      </c>
      <c r="BL81" s="1" t="e">
        <f>BL40-#REF!</f>
        <v>#REF!</v>
      </c>
      <c r="BM81" s="1" t="e">
        <f>BM40-#REF!</f>
        <v>#REF!</v>
      </c>
      <c r="BN81" s="1" t="e">
        <f>BN40-#REF!</f>
        <v>#REF!</v>
      </c>
      <c r="BO81" s="1" t="e">
        <f>BO40-#REF!</f>
        <v>#REF!</v>
      </c>
      <c r="BP81" s="1" t="e">
        <f>BP40-#REF!</f>
        <v>#REF!</v>
      </c>
      <c r="BQ81" s="1" t="e">
        <f>BQ40-#REF!</f>
        <v>#REF!</v>
      </c>
      <c r="BR81" s="1" t="e">
        <f>BR40-#REF!</f>
        <v>#REF!</v>
      </c>
      <c r="BS81" s="1" t="e">
        <f>BS40-#REF!</f>
        <v>#REF!</v>
      </c>
      <c r="BT81" s="1" t="e">
        <f>BT40-#REF!</f>
        <v>#REF!</v>
      </c>
      <c r="BU81" s="1" t="e">
        <f>BU40-#REF!</f>
        <v>#REF!</v>
      </c>
    </row>
    <row r="82" spans="13:73" hidden="1" x14ac:dyDescent="0.2"/>
    <row r="83" spans="13:73" hidden="1" x14ac:dyDescent="0.2"/>
    <row r="84" spans="13:73" hidden="1" x14ac:dyDescent="0.2"/>
    <row r="85" spans="13:73" hidden="1" x14ac:dyDescent="0.2"/>
    <row r="86" spans="13:73" hidden="1" x14ac:dyDescent="0.2"/>
    <row r="87" spans="13:73" hidden="1" x14ac:dyDescent="0.2"/>
    <row r="88" spans="13:73" hidden="1" x14ac:dyDescent="0.2"/>
    <row r="89" spans="13:73" hidden="1" x14ac:dyDescent="0.2"/>
    <row r="90" spans="13:73" hidden="1" x14ac:dyDescent="0.2"/>
    <row r="91" spans="13:73" hidden="1" x14ac:dyDescent="0.2"/>
    <row r="92" spans="13:73" hidden="1" x14ac:dyDescent="0.2"/>
    <row r="93" spans="13:73" hidden="1" x14ac:dyDescent="0.2"/>
    <row r="94" spans="13:73" hidden="1" x14ac:dyDescent="0.2"/>
    <row r="95" spans="13:73" hidden="1" x14ac:dyDescent="0.2"/>
    <row r="96" spans="13:73" hidden="1" x14ac:dyDescent="0.2"/>
    <row r="97" spans="13:13" hidden="1" x14ac:dyDescent="0.2"/>
    <row r="98" spans="13:13" hidden="1" x14ac:dyDescent="0.2"/>
    <row r="99" spans="13:13" hidden="1" x14ac:dyDescent="0.2"/>
    <row r="100" spans="13:13" hidden="1" x14ac:dyDescent="0.2"/>
    <row r="101" spans="13:13" hidden="1" x14ac:dyDescent="0.2"/>
    <row r="102" spans="13:13" hidden="1" x14ac:dyDescent="0.2"/>
    <row r="103" spans="13:13" hidden="1" x14ac:dyDescent="0.2"/>
    <row r="104" spans="13:13" hidden="1" x14ac:dyDescent="0.2"/>
    <row r="106" spans="13:13" x14ac:dyDescent="0.2">
      <c r="M106" s="376"/>
    </row>
  </sheetData>
  <mergeCells count="2">
    <mergeCell ref="H8:BU8"/>
    <mergeCell ref="D41:BU41"/>
  </mergeCells>
  <pageMargins left="0.7" right="0.7" top="0.75" bottom="0.75" header="0.3" footer="0.3"/>
  <pageSetup paperSize="9" scale="2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4</vt:i4>
      </vt:variant>
    </vt:vector>
  </HeadingPairs>
  <TitlesOfParts>
    <vt:vector size="15" baseType="lpstr">
      <vt:lpstr>Summary</vt:lpstr>
      <vt:lpstr>Table1</vt:lpstr>
      <vt:lpstr>Table2 Pg1</vt:lpstr>
      <vt:lpstr>Table2 Pg2</vt:lpstr>
      <vt:lpstr>Table3 Summary</vt:lpstr>
      <vt:lpstr>Table3,1</vt:lpstr>
      <vt:lpstr>Table3,2</vt:lpstr>
      <vt:lpstr>Table3,3</vt:lpstr>
      <vt:lpstr>Table3,4</vt:lpstr>
      <vt:lpstr>Table4</vt:lpstr>
      <vt:lpstr>Table5</vt:lpstr>
      <vt:lpstr>Summary!Print_Area</vt:lpstr>
      <vt:lpstr>Table1!Print_Area</vt:lpstr>
      <vt:lpstr>'Table2 Pg1'!Print_Area</vt:lpstr>
      <vt:lpstr>'Table3,1'!Print_Area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Phindile Dhlame</dc:creator>
  <cp:lastModifiedBy>Phindile Dhlame</cp:lastModifiedBy>
  <cp:lastPrinted>2021-02-25T18:50:28Z</cp:lastPrinted>
  <dcterms:created xsi:type="dcterms:W3CDTF">2021-02-25T06:19:43Z</dcterms:created>
  <dcterms:modified xsi:type="dcterms:W3CDTF">2021-02-25T19:07:31Z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3c4247e-447d-4732-af29-2e529a4288f1_Enabled">
    <vt:lpwstr>true</vt:lpwstr>
  </property>
  <property fmtid="{D5CDD505-2E9C-101B-9397-08002B2CF9AE}" pid="3" name="MSIP_Label_93c4247e-447d-4732-af29-2e529a4288f1_SetDate">
    <vt:lpwstr>2021-02-25T06:19:43Z</vt:lpwstr>
  </property>
  <property fmtid="{D5CDD505-2E9C-101B-9397-08002B2CF9AE}" pid="4" name="MSIP_Label_93c4247e-447d-4732-af29-2e529a4288f1_Method">
    <vt:lpwstr>Standard</vt:lpwstr>
  </property>
  <property fmtid="{D5CDD505-2E9C-101B-9397-08002B2CF9AE}" pid="5" name="MSIP_Label_93c4247e-447d-4732-af29-2e529a4288f1_Name">
    <vt:lpwstr>93c4247e-447d-4732-af29-2e529a4288f1</vt:lpwstr>
  </property>
  <property fmtid="{D5CDD505-2E9C-101B-9397-08002B2CF9AE}" pid="6" name="MSIP_Label_93c4247e-447d-4732-af29-2e529a4288f1_SiteId">
    <vt:lpwstr>1a45348f-02b4-4f9a-a7a8-7786f6dd3245</vt:lpwstr>
  </property>
  <property fmtid="{D5CDD505-2E9C-101B-9397-08002B2CF9AE}" pid="7" name="MSIP_Label_93c4247e-447d-4732-af29-2e529a4288f1_ActionId">
    <vt:lpwstr>bce0bb64-156d-4958-b10b-6bd13b7c8c5b</vt:lpwstr>
  </property>
  <property fmtid="{D5CDD505-2E9C-101B-9397-08002B2CF9AE}" pid="8" name="MSIP_Label_93c4247e-447d-4732-af29-2e529a4288f1_ContentBits">
    <vt:lpwstr>0</vt:lpwstr>
  </property>
</Properties>
</file>